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tmp" ContentType="image/png"/>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ctrlProps/ctrlProp1.xml" ContentType="application/vnd.ms-excel.controlproperties+xml"/>
  <Override PartName="/xl/comments2.xml" ContentType="application/vnd.openxmlformats-officedocument.spreadsheetml.comments+xml"/>
  <Override PartName="/xl/threadedComments/threadedComment2.xml" ContentType="application/vnd.ms-excel.threadedcomments+xml"/>
  <Override PartName="/xl/drawings/drawing4.xml" ContentType="application/vnd.openxmlformats-officedocument.drawing+xml"/>
  <Override PartName="/xl/drawings/drawing5.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drawings/drawing6.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03"/>
  <workbookPr/>
  <mc:AlternateContent xmlns:mc="http://schemas.openxmlformats.org/markup-compatibility/2006">
    <mc:Choice Requires="x15">
      <x15ac:absPath xmlns:x15ac="http://schemas.microsoft.com/office/spreadsheetml/2010/11/ac" url="/Users/user/Documents/GitHub/pg-ap-analytics/data-inputs/"/>
    </mc:Choice>
  </mc:AlternateContent>
  <xr:revisionPtr revIDLastSave="0" documentId="13_ncr:1_{9D1A1F23-C877-2949-913D-5EEE346C6C9D}" xr6:coauthVersionLast="47" xr6:coauthVersionMax="47" xr10:uidLastSave="{00000000-0000-0000-0000-000000000000}"/>
  <bookViews>
    <workbookView xWindow="0" yWindow="760" windowWidth="30240" windowHeight="17300" firstSheet="5" activeTab="12" xr2:uid="{00000000-000D-0000-FFFF-FFFF00000000}"/>
  </bookViews>
  <sheets>
    <sheet name="Time Table" sheetId="2" r:id="rId1"/>
    <sheet name="PGX ACS studies " sheetId="1" r:id="rId2"/>
    <sheet name="Previous Model Structures " sheetId="3" r:id="rId3"/>
    <sheet name="Model structure " sheetId="15" r:id="rId4"/>
    <sheet name="assumptions" sheetId="21" r:id="rId5"/>
    <sheet name="Parameters.STEMI" sheetId="16" r:id="rId6"/>
    <sheet name="Intitial-Calculations" sheetId="17" r:id="rId7"/>
    <sheet name="decision tree" sheetId="31" r:id="rId8"/>
    <sheet name="markov" sheetId="39" r:id="rId9"/>
    <sheet name="out-put" sheetId="36" r:id="rId10"/>
    <sheet name="random" sheetId="40" r:id="rId11"/>
    <sheet name="PSA" sheetId="42" r:id="rId12"/>
    <sheet name="costs" sheetId="24" r:id="rId13"/>
    <sheet name="markov_transition" sheetId="30" r:id="rId14"/>
    <sheet name="age_sex_dependant_mortality" sheetId="23" r:id="rId15"/>
    <sheet name="age_sex_dependant_utility" sheetId="26" r:id="rId16"/>
    <sheet name="Parameters.NSTEMI" sheetId="19" r:id="rId17"/>
    <sheet name="Data from Pufulete 2022" sheetId="29" r:id="rId18"/>
    <sheet name="Sheet2" sheetId="35" r:id="rId19"/>
    <sheet name="timeline" sheetId="22" r:id="rId20"/>
    <sheet name="Sheet1" sheetId="41" r:id="rId21"/>
  </sheets>
  <definedNames>
    <definedName name="_xlnm._FilterDatabase" localSheetId="1" hidden="1">'PGX ACS studies '!$A$1:$Z$19</definedName>
    <definedName name="adj_u_noevent">age_sex_dependant_utility!$D$13:$G$51</definedName>
    <definedName name="adj_u_pos_stk">age_sex_dependant_utility!$X$13:$AA$51</definedName>
    <definedName name="adj_u_posrinfarc">age_sex_dependant_utility!$N$13:$Q$51</definedName>
    <definedName name="adj_u_rinfarc">age_sex_dependant_utility!$I$13:$L$51</definedName>
    <definedName name="adj_u_stk">age_sex_dependant_utility!$S$13:$V$51</definedName>
    <definedName name="an_u_dec_maj_bleed">Parameters.STEMI!$D$46</definedName>
    <definedName name="an_u_dec_min_bleed">Parameters.STEMI!$D$45</definedName>
    <definedName name="c_bleed_ac">Parameters.STEMI!$D$86</definedName>
    <definedName name="c_bleed_ap">Parameters.STEMI!$D$88</definedName>
    <definedName name="c_bleed_at">Parameters.STEMI!$D$87</definedName>
    <definedName name="c_dead_tree">costs!$Y$13</definedName>
    <definedName name="c_drug_ac_dead_poc">'decision tree'!$I$28</definedName>
    <definedName name="c_drug_ac_dead_st">'decision tree'!$I$7</definedName>
    <definedName name="c_drug_ac_mi_poc">'decision tree'!$I$26</definedName>
    <definedName name="c_drug_ac_mi_st">'decision tree'!$I$5</definedName>
    <definedName name="c_drug_ac_noevent_poc">'decision tree'!$I$25</definedName>
    <definedName name="c_drug_ac_noevent_st">'decision tree'!$I$4</definedName>
    <definedName name="c_drug_ac_stk_poc">'decision tree'!$I$27</definedName>
    <definedName name="c_drug_ac_stk_st">'decision tree'!$I$6</definedName>
    <definedName name="c_drug_ap_dead_poc">'decision tree'!$I$24</definedName>
    <definedName name="c_drug_ap_dead_st">'decision tree'!$I$15</definedName>
    <definedName name="c_drug_ap_mi_poc">'decision tree'!$I$22</definedName>
    <definedName name="c_drug_ap_mi_st">'decision tree'!$I$13</definedName>
    <definedName name="c_drug_ap_noevent_pc">'decision tree'!$I$21</definedName>
    <definedName name="c_drug_ap_noevent_st">'decision tree'!$I$12</definedName>
    <definedName name="c_drug_ap_stk_poc">'decision tree'!$I$23</definedName>
    <definedName name="c_drug_ap_stk_st">'decision tree'!$I$14</definedName>
    <definedName name="c_drug_at_dead_poc">'decision tree'!$I$20</definedName>
    <definedName name="c_drug_at_dead_st">'decision tree'!$I$11</definedName>
    <definedName name="c_drug_at_mi_poc">'decision tree'!$I$18</definedName>
    <definedName name="c_drug_at_mi_st">'decision tree'!$I$9</definedName>
    <definedName name="c_drug_at_noevent_pc">'decision tree'!$I$17</definedName>
    <definedName name="c_drug_at_noevent_st">'decision tree'!$I$8</definedName>
    <definedName name="c_drug_at_stk_poc">'decision tree'!$I$19</definedName>
    <definedName name="c_drug_at_stk_st">'decision tree'!$I$10</definedName>
    <definedName name="c_dys_ac">Parameters.STEMI!$D$124</definedName>
    <definedName name="c_dys_ap">Parameters.STEMI!$D$126</definedName>
    <definedName name="c_dys_at">Parameters.STEMI!$D$125</definedName>
    <definedName name="c_dys_pp">Parameters.STEMI!$D$123</definedName>
    <definedName name="c_maj_bleed">'out-put'!$F$63</definedName>
    <definedName name="c_mi_tree">costs!$W$13</definedName>
    <definedName name="c_min_bleed">'out-put'!$G$51</definedName>
    <definedName name="c_noevent_mkv">costs!$AC$13</definedName>
    <definedName name="c_noevent_tree">costs!$V$13</definedName>
    <definedName name="c_pci">Parameters.STEMI!$D$79</definedName>
    <definedName name="c_poc_test">Parameters.STEMI!$D$62</definedName>
    <definedName name="c_poc_total">markov!$CP$51</definedName>
    <definedName name="c_poc_tree">'decision tree'!$Y$4</definedName>
    <definedName name="c_post_rinfar_mkv">costs!$AE$13</definedName>
    <definedName name="c_post_stk_mkv">costs!$AB$13</definedName>
    <definedName name="c_rinfar_mkv">costs!$AD$13</definedName>
    <definedName name="c_st_total">markov!$BX$49</definedName>
    <definedName name="c_st_tree">'decision tree'!$W$4</definedName>
    <definedName name="c_stk_mkv">costs!$AA$13</definedName>
    <definedName name="c_stk_tree">costs!$X$13</definedName>
    <definedName name="ce_tresh">Parameters.STEMI!$D$98</definedName>
    <definedName name="current_age">markov!$D$9:$D$48</definedName>
    <definedName name="cycle">markov!$C$9:$C$48</definedName>
    <definedName name="day_cost_asa">costs!$B$14</definedName>
    <definedName name="day_cost_clop">costs!$B$15</definedName>
    <definedName name="day_cost_pras">Parameters.STEMI!$D$76</definedName>
    <definedName name="day_cost_pras_10mg">costs!$B$17</definedName>
    <definedName name="day_cost_pras_5mg">costs!$B$16</definedName>
    <definedName name="day_cost_tica">costs!$B$18</definedName>
    <definedName name="disc_cost">'out-put'!$D$57</definedName>
    <definedName name="disc_effect">'out-put'!$E$57</definedName>
    <definedName name="dist_dead_pc_tree">'decision tree'!$W$20</definedName>
    <definedName name="dist_dead_st_tree">'decision tree'!$U$7</definedName>
    <definedName name="dist_nevent_pc_tree">'decision tree'!$W$17</definedName>
    <definedName name="dist_nevent_st_tree">'decision tree'!$U$4</definedName>
    <definedName name="dist_rinfarc_pc_tree">'decision tree'!$W$18</definedName>
    <definedName name="dist_rinfarc_st_tree">'decision tree'!$U$5</definedName>
    <definedName name="dist_stk_pc_tree">'decision tree'!$W$19</definedName>
    <definedName name="dist_stk_st_tree">'decision tree'!$U$6</definedName>
    <definedName name="duration_dys">Parameters.STEMI!$D$129</definedName>
    <definedName name="duration_maj_bleed">Parameters.STEMI!$D$48</definedName>
    <definedName name="duration_min_bleed">Parameters.STEMI!$D$47</definedName>
    <definedName name="ICER">'decision tree'!$AI$4</definedName>
    <definedName name="ld_clop_300">costs!$B$19</definedName>
    <definedName name="ld_clop_600">costs!$B$20</definedName>
    <definedName name="ld_pras_60">costs!$B$21</definedName>
    <definedName name="ld_tica_180">costs!$B$22</definedName>
    <definedName name="life_table">age_sex_dependant_mortality!$A$13:$D$52</definedName>
    <definedName name="LYGs_poc">markov!$BF$49</definedName>
    <definedName name="LYGs_st">markov!$AE$49</definedName>
    <definedName name="male_proportion_STEMI">age_sex_dependant_mortality!$B$9</definedName>
    <definedName name="md_328_day">Parameters.STEMI!$D$66</definedName>
    <definedName name="md_360_day">Parameters.STEMI!$D$65</definedName>
    <definedName name="md_365_day">Parameters.STEMI!$D$64</definedName>
    <definedName name="md_5_day">Parameters.STEMI!$D$68</definedName>
    <definedName name="md_halfway">Parameters.STEMI!$D$67</definedName>
    <definedName name="model_type">'out-put'!$F$8</definedName>
    <definedName name="or_dead_pras_clop">'Intitial-Calculations'!$AK$6</definedName>
    <definedName name="or_dead_tica_clop">'Intitial-Calculations'!$AF$6</definedName>
    <definedName name="or_dys_at_ac">Parameters.STEMI!$D$121</definedName>
    <definedName name="or_maj_bleed_pras_clop">'Intitial-Calculations'!$AK$9</definedName>
    <definedName name="or_maj_bleed_tica_clop">'Intitial-Calculations'!$AF$9</definedName>
    <definedName name="or_mi_pras_clop">'Intitial-Calculations'!$AK$7</definedName>
    <definedName name="or_mi_tica_clop">'Intitial-Calculations'!$AF$7</definedName>
    <definedName name="or_min_bleed_pras_clop">'Intitial-Calculations'!$AK$10</definedName>
    <definedName name="or_min_bleed_tica_clop">'Intitial-Calculations'!$AF$10</definedName>
    <definedName name="or_stk_pras_clop">'Intitial-Calculations'!$AK$8</definedName>
    <definedName name="or_stk_tica_clop">'Intitial-Calculations'!$AF$8</definedName>
    <definedName name="prb_dys_ap">Parameters.STEMI!$D$120</definedName>
    <definedName name="prev_lof_base">Parameters.STEMI!$D$31</definedName>
    <definedName name="prev_lof_sa">'Intitial-Calculations'!$AU$15</definedName>
    <definedName name="prob_dead_ac">Parameters.STEMI!$D$13</definedName>
    <definedName name="prob_dead_ac_nlof">Parameters.STEMI!$D$36</definedName>
    <definedName name="prob_dead_ap">'Intitial-Calculations'!$AN$6</definedName>
    <definedName name="prob_dead_at">'Intitial-Calculations'!$AI$6</definedName>
    <definedName name="prob_dead_noevent">age_sex_dependant_mortality!$G$13:$J$52</definedName>
    <definedName name="prob_dead_pos_reinfarct">age_sex_dependant_mortality!$Q$13:$T$52</definedName>
    <definedName name="prob_dead_pstk">age_sex_dependant_mortality!$AA$13:$AD$52</definedName>
    <definedName name="prob_dead_reinfarction">age_sex_dependant_mortality!$L$13:$O$52</definedName>
    <definedName name="prob_dead_stk">age_sex_dependant_mortality!$V$13:$Y$52</definedName>
    <definedName name="prob_dys_ac">Parameters.STEMI!$D$118</definedName>
    <definedName name="prob_dys_ap">Parameters.STEMI!$D$120</definedName>
    <definedName name="prob_dys_at">Parameters.STEMI!$D$119</definedName>
    <definedName name="prob_maj_bleed_ac">Parameters.STEMI!$D$16</definedName>
    <definedName name="prob_maj_bleed_ap">'Intitial-Calculations'!$AN$9</definedName>
    <definedName name="prob_maj_bleed_at">'Intitial-Calculations'!$AI$9</definedName>
    <definedName name="prob_mi_ac">Parameters.STEMI!$D$14</definedName>
    <definedName name="prob_mi_ac_nlof">Parameters.STEMI!$D$37</definedName>
    <definedName name="prob_mi_ap">'Intitial-Calculations'!$AN$7</definedName>
    <definedName name="prob_mi_at">'Intitial-Calculations'!$AI$7</definedName>
    <definedName name="prob_min_bleed_ac">Parameters.STEMI!$D$17</definedName>
    <definedName name="prob_min_bleed_ap">'Intitial-Calculations'!$AN$10</definedName>
    <definedName name="prob_min_bleed_at">'Intitial-Calculations'!$AI$10</definedName>
    <definedName name="prob_nevent_to_reinfarc">markov!$E$9</definedName>
    <definedName name="prob_stk_ac">'out-put'!$G$37</definedName>
    <definedName name="prob_stk_ac_nlof">Parameters.STEMI!$D$38</definedName>
    <definedName name="prob_stk_ap">'Intitial-Calculations'!$AN$8</definedName>
    <definedName name="prob_stk_at">'Intitial-Calculations'!$AI$8</definedName>
    <definedName name="prob_test_follow">'out-put'!$G$18</definedName>
    <definedName name="prob_test_order">'out-put'!$G$13</definedName>
    <definedName name="prop_ac_st">'out-put'!$E$24</definedName>
    <definedName name="prop_ap_lof">Parameters.STEMI!$D$34</definedName>
    <definedName name="prop_ap_st">'out-put'!$G$24</definedName>
    <definedName name="prop_at_lof">Parameters.STEMI!$D$33</definedName>
    <definedName name="prop_at_st">'out-put'!$F$24</definedName>
    <definedName name="prop_pras_5mg">Parameters.STEMI!$D$75</definedName>
    <definedName name="prop_test_not_followed">'decision tree'!$G$29</definedName>
    <definedName name="prop_test_not_ordered">'decision tree'!$G$30</definedName>
    <definedName name="qaly_poc_total">markov!$DY$51</definedName>
    <definedName name="qaly_poc_tree">'decision tree'!$AC$4</definedName>
    <definedName name="qaly_st_total">markov!$DG$49</definedName>
    <definedName name="qaly_st_tree">'decision tree'!$AA$4</definedName>
    <definedName name="rate_maj_bleed_ac_nlof">Parameters.STEMI!$D$39</definedName>
    <definedName name="rate_min_bleed_ac_nlof">Parameters.STEMI!$D$40</definedName>
    <definedName name="RR_dead_ac_nlof">Parameters.STEMI!$D$112</definedName>
    <definedName name="rr_maj_bleed_ac_nlof">Parameters.STEMI!$D$115</definedName>
    <definedName name="rr_mi_ac_nlof">Parameters.STEMI!$D$113</definedName>
    <definedName name="rr_min_bleed_ac_nlof">Parameters.STEMI!$D$116</definedName>
    <definedName name="rr_stk_ac_nlof">Parameters.STEMI!$D$114</definedName>
    <definedName name="smr_noevent">'out-put'!$D$46</definedName>
    <definedName name="smr_post_rinfar">'out-put'!$F$46</definedName>
    <definedName name="smr_post_stk">age_sex_dependant_mortality!$B$8</definedName>
    <definedName name="smr_rinfar">'out-put'!$E$46</definedName>
    <definedName name="smr_stk">age_sex_dependant_mortality!$B$7</definedName>
    <definedName name="start_age">63</definedName>
    <definedName name="start_age_f">Parameters.STEMI!$D$4</definedName>
    <definedName name="start_age_m">Parameters.STEMI!$D$3</definedName>
    <definedName name="stemi_size">Parameters.STEMI!$D$5</definedName>
    <definedName name="u_dec_bleed_ac">Parameters.STEMI!$D$51</definedName>
    <definedName name="u_dec_bleed_ap">Parameters.STEMI!$D$53</definedName>
    <definedName name="u_dec_bleed_at">Parameters.STEMI!$D$52</definedName>
    <definedName name="u_dec_dys">Parameters.STEMI!$D$128</definedName>
    <definedName name="u_dec_dys_ac">Parameters.STEMI!$D$130</definedName>
    <definedName name="u_dec_dys_ap">Parameters.STEMI!$D$132</definedName>
    <definedName name="u_dec_dys_at">Parameters.STEMI!$D$131</definedName>
    <definedName name="u_dec_maj_bleed">Parameters.STEMI!$D$50</definedName>
    <definedName name="u_dec_min_bleed">Parameters.STEMI!$D$49</definedName>
    <definedName name="u_noevent">age_sex_dependant_utility!$B$3</definedName>
    <definedName name="u_noevent_tree">Parameters.STEMI!$D$42</definedName>
    <definedName name="u_post_rinfar">age_sex_dependant_utility!$B$5</definedName>
    <definedName name="u_post_rinfar_tree">age_sex_dependant_utility!$Q$13</definedName>
    <definedName name="u_post_stk">age_sex_dependant_utility!$B$7</definedName>
    <definedName name="u_post_stk_tree">age_sex_dependant_utility!$AA$13</definedName>
    <definedName name="u_rinfar">age_sex_dependant_utility!$B$4</definedName>
    <definedName name="u_rinfar_tree">age_sex_dependant_utility!$L$13</definedName>
    <definedName name="u_stk">age_sex_dependant_utility!$B$6</definedName>
    <definedName name="u_stk_tree">age_sex_dependant_utility!$V$13</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C53" i="23" l="1"/>
  <c r="AB53" i="23"/>
  <c r="AD53" i="23" s="1"/>
  <c r="X53" i="23"/>
  <c r="W53" i="23"/>
  <c r="Y53" i="23" s="1"/>
  <c r="S53" i="23"/>
  <c r="R53" i="23"/>
  <c r="T53" i="23" s="1"/>
  <c r="O53" i="23"/>
  <c r="N53" i="23"/>
  <c r="M53" i="23"/>
  <c r="I53" i="23"/>
  <c r="H53" i="23"/>
  <c r="J53" i="23" s="1"/>
  <c r="AC52" i="23"/>
  <c r="AB52" i="23"/>
  <c r="AD52" i="23" s="1"/>
  <c r="X52" i="23"/>
  <c r="W52" i="23"/>
  <c r="Y52" i="23" s="1"/>
  <c r="T52" i="23"/>
  <c r="S52" i="23"/>
  <c r="R52" i="23"/>
  <c r="N52" i="23"/>
  <c r="M52" i="23"/>
  <c r="O52" i="23" s="1"/>
  <c r="I52" i="23"/>
  <c r="H52" i="23"/>
  <c r="J52" i="23" s="1"/>
  <c r="AC51" i="23"/>
  <c r="AD51" i="23" s="1"/>
  <c r="AB51" i="23"/>
  <c r="X51" i="23"/>
  <c r="W51" i="23"/>
  <c r="Y51" i="23" s="1"/>
  <c r="S51" i="23"/>
  <c r="R51" i="23"/>
  <c r="T51" i="23" s="1"/>
  <c r="N51" i="23"/>
  <c r="M51" i="23"/>
  <c r="O51" i="23" s="1"/>
  <c r="J51" i="23"/>
  <c r="I51" i="23"/>
  <c r="H51" i="23"/>
  <c r="AC50" i="23"/>
  <c r="AB50" i="23"/>
  <c r="AD50" i="23" s="1"/>
  <c r="X50" i="23"/>
  <c r="W50" i="23"/>
  <c r="Y50" i="23" s="1"/>
  <c r="S50" i="23"/>
  <c r="R50" i="23"/>
  <c r="T50" i="23" s="1"/>
  <c r="O50" i="23"/>
  <c r="N50" i="23"/>
  <c r="M50" i="23"/>
  <c r="I50" i="23"/>
  <c r="H50" i="23"/>
  <c r="J50" i="23" s="1"/>
  <c r="AC49" i="23"/>
  <c r="AB49" i="23"/>
  <c r="AD49" i="23" s="1"/>
  <c r="X49" i="23"/>
  <c r="Y49" i="23" s="1"/>
  <c r="W49" i="23"/>
  <c r="S49" i="23"/>
  <c r="R49" i="23"/>
  <c r="T49" i="23" s="1"/>
  <c r="N49" i="23"/>
  <c r="M49" i="23"/>
  <c r="O49" i="23" s="1"/>
  <c r="I49" i="23"/>
  <c r="H49" i="23"/>
  <c r="J49" i="23" s="1"/>
  <c r="AD48" i="23"/>
  <c r="AC48" i="23"/>
  <c r="AB48" i="23"/>
  <c r="X48" i="23"/>
  <c r="W48" i="23"/>
  <c r="Y48" i="23" s="1"/>
  <c r="S48" i="23"/>
  <c r="R48" i="23"/>
  <c r="T48" i="23" s="1"/>
  <c r="N48" i="23"/>
  <c r="M48" i="23"/>
  <c r="O48" i="23" s="1"/>
  <c r="J48" i="23"/>
  <c r="I48" i="23"/>
  <c r="H48" i="23"/>
  <c r="AC47" i="23"/>
  <c r="AB47" i="23"/>
  <c r="AD47" i="23" s="1"/>
  <c r="X47" i="23"/>
  <c r="W47" i="23"/>
  <c r="Y47" i="23" s="1"/>
  <c r="S47" i="23"/>
  <c r="T47" i="23" s="1"/>
  <c r="R47" i="23"/>
  <c r="N47" i="23"/>
  <c r="M47" i="23"/>
  <c r="O47" i="23" s="1"/>
  <c r="I47" i="23"/>
  <c r="H47" i="23"/>
  <c r="J47" i="23" s="1"/>
  <c r="AC46" i="23"/>
  <c r="AB46" i="23"/>
  <c r="AD46" i="23" s="1"/>
  <c r="Y46" i="23"/>
  <c r="X46" i="23"/>
  <c r="W46" i="23"/>
  <c r="S46" i="23"/>
  <c r="R46" i="23"/>
  <c r="T46" i="23" s="1"/>
  <c r="N46" i="23"/>
  <c r="M46" i="23"/>
  <c r="O46" i="23" s="1"/>
  <c r="I46" i="23"/>
  <c r="H46" i="23"/>
  <c r="J46" i="23" s="1"/>
  <c r="AD45" i="23"/>
  <c r="AC45" i="23"/>
  <c r="AB45" i="23"/>
  <c r="X45" i="23"/>
  <c r="W45" i="23"/>
  <c r="Y45" i="23" s="1"/>
  <c r="S45" i="23"/>
  <c r="R45" i="23"/>
  <c r="T45" i="23" s="1"/>
  <c r="N45" i="23"/>
  <c r="O45" i="23" s="1"/>
  <c r="M45" i="23"/>
  <c r="I45" i="23"/>
  <c r="H45" i="23"/>
  <c r="J45" i="23" s="1"/>
  <c r="AC44" i="23"/>
  <c r="AB44" i="23"/>
  <c r="AD44" i="23" s="1"/>
  <c r="X44" i="23"/>
  <c r="W44" i="23"/>
  <c r="Y44" i="23" s="1"/>
  <c r="T44" i="23"/>
  <c r="S44" i="23"/>
  <c r="R44" i="23"/>
  <c r="N44" i="23"/>
  <c r="M44" i="23"/>
  <c r="O44" i="23" s="1"/>
  <c r="I44" i="23"/>
  <c r="H44" i="23"/>
  <c r="J44" i="23" s="1"/>
  <c r="AC43" i="23"/>
  <c r="AB43" i="23"/>
  <c r="AD43" i="23" s="1"/>
  <c r="Y43" i="23"/>
  <c r="X43" i="23"/>
  <c r="W43" i="23"/>
  <c r="S43" i="23"/>
  <c r="R43" i="23"/>
  <c r="T43" i="23" s="1"/>
  <c r="N43" i="23"/>
  <c r="M43" i="23"/>
  <c r="O43" i="23" s="1"/>
  <c r="I43" i="23"/>
  <c r="J43" i="23" s="1"/>
  <c r="H43" i="23"/>
  <c r="AC42" i="23"/>
  <c r="AB42" i="23"/>
  <c r="AD42" i="23" s="1"/>
  <c r="X42" i="23"/>
  <c r="W42" i="23"/>
  <c r="Y42" i="23" s="1"/>
  <c r="S42" i="23"/>
  <c r="R42" i="23"/>
  <c r="T42" i="23" s="1"/>
  <c r="O42" i="23"/>
  <c r="N42" i="23"/>
  <c r="M42" i="23"/>
  <c r="I42" i="23"/>
  <c r="H42" i="23"/>
  <c r="J42" i="23" s="1"/>
  <c r="AC41" i="23"/>
  <c r="AB41" i="23"/>
  <c r="AD41" i="23" s="1"/>
  <c r="X41" i="23"/>
  <c r="W41" i="23"/>
  <c r="Y41" i="23" s="1"/>
  <c r="T41" i="23"/>
  <c r="S41" i="23"/>
  <c r="R41" i="23"/>
  <c r="N41" i="23"/>
  <c r="M41" i="23"/>
  <c r="O41" i="23" s="1"/>
  <c r="I41" i="23"/>
  <c r="H41" i="23"/>
  <c r="J41" i="23" s="1"/>
  <c r="AC40" i="23"/>
  <c r="AD40" i="23" s="1"/>
  <c r="AB40" i="23"/>
  <c r="X40" i="23"/>
  <c r="W40" i="23"/>
  <c r="Y40" i="23" s="1"/>
  <c r="S40" i="23"/>
  <c r="R40" i="23"/>
  <c r="T40" i="23" s="1"/>
  <c r="N40" i="23"/>
  <c r="M40" i="23"/>
  <c r="O40" i="23" s="1"/>
  <c r="J40" i="23"/>
  <c r="I40" i="23"/>
  <c r="H40" i="23"/>
  <c r="AC39" i="23"/>
  <c r="AB39" i="23"/>
  <c r="AD39" i="23" s="1"/>
  <c r="X39" i="23"/>
  <c r="W39" i="23"/>
  <c r="Y39" i="23" s="1"/>
  <c r="S39" i="23"/>
  <c r="R39" i="23"/>
  <c r="T39" i="23" s="1"/>
  <c r="O39" i="23"/>
  <c r="N39" i="23"/>
  <c r="M39" i="23"/>
  <c r="I39" i="23"/>
  <c r="H39" i="23"/>
  <c r="J39" i="23" s="1"/>
  <c r="AC38" i="23"/>
  <c r="AB38" i="23"/>
  <c r="AD38" i="23" s="1"/>
  <c r="X38" i="23"/>
  <c r="Y38" i="23" s="1"/>
  <c r="W38" i="23"/>
  <c r="S38" i="23"/>
  <c r="R38" i="23"/>
  <c r="T38" i="23" s="1"/>
  <c r="N38" i="23"/>
  <c r="M38" i="23"/>
  <c r="O38" i="23" s="1"/>
  <c r="I38" i="23"/>
  <c r="H38" i="23"/>
  <c r="J38" i="23" s="1"/>
  <c r="AD37" i="23"/>
  <c r="AC37" i="23"/>
  <c r="AB37" i="23"/>
  <c r="X37" i="23"/>
  <c r="W37" i="23"/>
  <c r="Y37" i="23" s="1"/>
  <c r="S37" i="23"/>
  <c r="R37" i="23"/>
  <c r="T37" i="23" s="1"/>
  <c r="N37" i="23"/>
  <c r="M37" i="23"/>
  <c r="O37" i="23" s="1"/>
  <c r="J37" i="23"/>
  <c r="I37" i="23"/>
  <c r="H37" i="23"/>
  <c r="AC36" i="23"/>
  <c r="AB36" i="23"/>
  <c r="AD36" i="23" s="1"/>
  <c r="X36" i="23"/>
  <c r="W36" i="23"/>
  <c r="Y36" i="23" s="1"/>
  <c r="S36" i="23"/>
  <c r="T36" i="23" s="1"/>
  <c r="R36" i="23"/>
  <c r="N36" i="23"/>
  <c r="M36" i="23"/>
  <c r="O36" i="23" s="1"/>
  <c r="I36" i="23"/>
  <c r="H36" i="23"/>
  <c r="J36" i="23" s="1"/>
  <c r="AC35" i="23"/>
  <c r="AB35" i="23"/>
  <c r="AD35" i="23" s="1"/>
  <c r="Y35" i="23"/>
  <c r="X35" i="23"/>
  <c r="W35" i="23"/>
  <c r="S35" i="23"/>
  <c r="R35" i="23"/>
  <c r="T35" i="23" s="1"/>
  <c r="N35" i="23"/>
  <c r="M35" i="23"/>
  <c r="O35" i="23" s="1"/>
  <c r="I35" i="23"/>
  <c r="H35" i="23"/>
  <c r="J35" i="23" s="1"/>
  <c r="AD34" i="23"/>
  <c r="AC34" i="23"/>
  <c r="AB34" i="23"/>
  <c r="X34" i="23"/>
  <c r="W34" i="23"/>
  <c r="Y34" i="23" s="1"/>
  <c r="S34" i="23"/>
  <c r="R34" i="23"/>
  <c r="T34" i="23" s="1"/>
  <c r="N34" i="23"/>
  <c r="O34" i="23" s="1"/>
  <c r="M34" i="23"/>
  <c r="I34" i="23"/>
  <c r="H34" i="23"/>
  <c r="J34" i="23" s="1"/>
  <c r="AC33" i="23"/>
  <c r="AB33" i="23"/>
  <c r="AD33" i="23" s="1"/>
  <c r="X33" i="23"/>
  <c r="W33" i="23"/>
  <c r="Y33" i="23" s="1"/>
  <c r="T33" i="23"/>
  <c r="S33" i="23"/>
  <c r="R33" i="23"/>
  <c r="N33" i="23"/>
  <c r="M33" i="23"/>
  <c r="O33" i="23" s="1"/>
  <c r="I33" i="23"/>
  <c r="H33" i="23"/>
  <c r="J33" i="23" s="1"/>
  <c r="AC32" i="23"/>
  <c r="AB32" i="23"/>
  <c r="AD32" i="23" s="1"/>
  <c r="Y32" i="23"/>
  <c r="X32" i="23"/>
  <c r="W32" i="23"/>
  <c r="S32" i="23"/>
  <c r="R32" i="23"/>
  <c r="T32" i="23" s="1"/>
  <c r="N32" i="23"/>
  <c r="M32" i="23"/>
  <c r="O32" i="23" s="1"/>
  <c r="I32" i="23"/>
  <c r="J32" i="23" s="1"/>
  <c r="H32" i="23"/>
  <c r="AC31" i="23"/>
  <c r="AB31" i="23"/>
  <c r="AD31" i="23" s="1"/>
  <c r="X31" i="23"/>
  <c r="W31" i="23"/>
  <c r="Y31" i="23" s="1"/>
  <c r="S31" i="23"/>
  <c r="R31" i="23"/>
  <c r="T31" i="23" s="1"/>
  <c r="O31" i="23"/>
  <c r="N31" i="23"/>
  <c r="M31" i="23"/>
  <c r="I31" i="23"/>
  <c r="H31" i="23"/>
  <c r="J31" i="23" s="1"/>
  <c r="AC30" i="23"/>
  <c r="AB30" i="23"/>
  <c r="AD30" i="23" s="1"/>
  <c r="X30" i="23"/>
  <c r="W30" i="23"/>
  <c r="Y30" i="23" s="1"/>
  <c r="T30" i="23"/>
  <c r="S30" i="23"/>
  <c r="R30" i="23"/>
  <c r="N30" i="23"/>
  <c r="M30" i="23"/>
  <c r="O30" i="23" s="1"/>
  <c r="I30" i="23"/>
  <c r="H30" i="23"/>
  <c r="J30" i="23" s="1"/>
  <c r="AC29" i="23"/>
  <c r="AD29" i="23" s="1"/>
  <c r="AB29" i="23"/>
  <c r="X29" i="23"/>
  <c r="W29" i="23"/>
  <c r="Y29" i="23" s="1"/>
  <c r="S29" i="23"/>
  <c r="R29" i="23"/>
  <c r="T29" i="23" s="1"/>
  <c r="N29" i="23"/>
  <c r="M29" i="23"/>
  <c r="O29" i="23" s="1"/>
  <c r="J29" i="23"/>
  <c r="I29" i="23"/>
  <c r="H29" i="23"/>
  <c r="AC28" i="23"/>
  <c r="AB28" i="23"/>
  <c r="AD28" i="23" s="1"/>
  <c r="X28" i="23"/>
  <c r="W28" i="23"/>
  <c r="Y28" i="23" s="1"/>
  <c r="S28" i="23"/>
  <c r="R28" i="23"/>
  <c r="T28" i="23" s="1"/>
  <c r="O28" i="23"/>
  <c r="N28" i="23"/>
  <c r="M28" i="23"/>
  <c r="I28" i="23"/>
  <c r="H28" i="23"/>
  <c r="J28" i="23" s="1"/>
  <c r="AC27" i="23"/>
  <c r="AB27" i="23"/>
  <c r="AD27" i="23" s="1"/>
  <c r="X27" i="23"/>
  <c r="Y27" i="23" s="1"/>
  <c r="W27" i="23"/>
  <c r="S27" i="23"/>
  <c r="R27" i="23"/>
  <c r="T27" i="23" s="1"/>
  <c r="N27" i="23"/>
  <c r="M27" i="23"/>
  <c r="O27" i="23" s="1"/>
  <c r="I27" i="23"/>
  <c r="H27" i="23"/>
  <c r="J27" i="23" s="1"/>
  <c r="AD26" i="23"/>
  <c r="AC26" i="23"/>
  <c r="AB26" i="23"/>
  <c r="X26" i="23"/>
  <c r="W26" i="23"/>
  <c r="Y26" i="23" s="1"/>
  <c r="S26" i="23"/>
  <c r="R26" i="23"/>
  <c r="T26" i="23" s="1"/>
  <c r="N26" i="23"/>
  <c r="M26" i="23"/>
  <c r="O26" i="23" s="1"/>
  <c r="J26" i="23"/>
  <c r="I26" i="23"/>
  <c r="H26" i="23"/>
  <c r="AC25" i="23"/>
  <c r="AB25" i="23"/>
  <c r="AD25" i="23" s="1"/>
  <c r="X25" i="23"/>
  <c r="W25" i="23"/>
  <c r="Y25" i="23" s="1"/>
  <c r="S25" i="23"/>
  <c r="T25" i="23" s="1"/>
  <c r="R25" i="23"/>
  <c r="N25" i="23"/>
  <c r="M25" i="23"/>
  <c r="O25" i="23" s="1"/>
  <c r="I25" i="23"/>
  <c r="H25" i="23"/>
  <c r="J25" i="23" s="1"/>
  <c r="AC24" i="23"/>
  <c r="AB24" i="23"/>
  <c r="AD24" i="23" s="1"/>
  <c r="Y24" i="23"/>
  <c r="X24" i="23"/>
  <c r="W24" i="23"/>
  <c r="S24" i="23"/>
  <c r="R24" i="23"/>
  <c r="T24" i="23" s="1"/>
  <c r="N24" i="23"/>
  <c r="M24" i="23"/>
  <c r="O24" i="23" s="1"/>
  <c r="I24" i="23"/>
  <c r="H24" i="23"/>
  <c r="J24" i="23" s="1"/>
  <c r="AD23" i="23"/>
  <c r="AC23" i="23"/>
  <c r="AB23" i="23"/>
  <c r="X23" i="23"/>
  <c r="W23" i="23"/>
  <c r="Y23" i="23" s="1"/>
  <c r="S23" i="23"/>
  <c r="R23" i="23"/>
  <c r="T23" i="23" s="1"/>
  <c r="N23" i="23"/>
  <c r="O23" i="23" s="1"/>
  <c r="M23" i="23"/>
  <c r="I23" i="23"/>
  <c r="H23" i="23"/>
  <c r="J23" i="23" s="1"/>
  <c r="AC22" i="23"/>
  <c r="AB22" i="23"/>
  <c r="AD22" i="23" s="1"/>
  <c r="X22" i="23"/>
  <c r="W22" i="23"/>
  <c r="Y22" i="23" s="1"/>
  <c r="T22" i="23"/>
  <c r="S22" i="23"/>
  <c r="R22" i="23"/>
  <c r="N22" i="23"/>
  <c r="M22" i="23"/>
  <c r="O22" i="23" s="1"/>
  <c r="I22" i="23"/>
  <c r="H22" i="23"/>
  <c r="J22" i="23" s="1"/>
  <c r="AC21" i="23"/>
  <c r="AB21" i="23"/>
  <c r="AD21" i="23" s="1"/>
  <c r="Y21" i="23"/>
  <c r="X21" i="23"/>
  <c r="W21" i="23"/>
  <c r="S21" i="23"/>
  <c r="R21" i="23"/>
  <c r="T21" i="23" s="1"/>
  <c r="N21" i="23"/>
  <c r="M21" i="23"/>
  <c r="O21" i="23" s="1"/>
  <c r="J21" i="23"/>
  <c r="I21" i="23"/>
  <c r="H21" i="23"/>
  <c r="AC20" i="23"/>
  <c r="AB20" i="23"/>
  <c r="AD20" i="23" s="1"/>
  <c r="X20" i="23"/>
  <c r="W20" i="23"/>
  <c r="Y20" i="23" s="1"/>
  <c r="S20" i="23"/>
  <c r="R20" i="23"/>
  <c r="T20" i="23" s="1"/>
  <c r="O20" i="23"/>
  <c r="N20" i="23"/>
  <c r="M20" i="23"/>
  <c r="I20" i="23"/>
  <c r="H20" i="23"/>
  <c r="J20" i="23" s="1"/>
  <c r="AC19" i="23"/>
  <c r="AB19" i="23"/>
  <c r="AD19" i="23" s="1"/>
  <c r="X19" i="23"/>
  <c r="W19" i="23"/>
  <c r="Y19" i="23" s="1"/>
  <c r="T19" i="23"/>
  <c r="S19" i="23"/>
  <c r="R19" i="23"/>
  <c r="N19" i="23"/>
  <c r="M19" i="23"/>
  <c r="O19" i="23" s="1"/>
  <c r="I19" i="23"/>
  <c r="H19" i="23"/>
  <c r="J19" i="23" s="1"/>
  <c r="AC18" i="23"/>
  <c r="AD18" i="23" s="1"/>
  <c r="AB18" i="23"/>
  <c r="X18" i="23"/>
  <c r="W18" i="23"/>
  <c r="Y18" i="23" s="1"/>
  <c r="S18" i="23"/>
  <c r="R18" i="23"/>
  <c r="T18" i="23" s="1"/>
  <c r="N18" i="23"/>
  <c r="M18" i="23"/>
  <c r="O18" i="23" s="1"/>
  <c r="J18" i="23"/>
  <c r="I18" i="23"/>
  <c r="H18" i="23"/>
  <c r="AC17" i="23"/>
  <c r="AB17" i="23"/>
  <c r="AD17" i="23" s="1"/>
  <c r="X17" i="23"/>
  <c r="W17" i="23"/>
  <c r="Y17" i="23" s="1"/>
  <c r="S17" i="23"/>
  <c r="R17" i="23"/>
  <c r="T17" i="23" s="1"/>
  <c r="O17" i="23"/>
  <c r="N17" i="23"/>
  <c r="M17" i="23"/>
  <c r="I17" i="23"/>
  <c r="H17" i="23"/>
  <c r="J17" i="23" s="1"/>
  <c r="AC16" i="23"/>
  <c r="AB16" i="23"/>
  <c r="AD16" i="23" s="1"/>
  <c r="X16" i="23"/>
  <c r="Y16" i="23" s="1"/>
  <c r="W16" i="23"/>
  <c r="S16" i="23"/>
  <c r="R16" i="23"/>
  <c r="T16" i="23" s="1"/>
  <c r="N16" i="23"/>
  <c r="M16" i="23"/>
  <c r="O16" i="23" s="1"/>
  <c r="I16" i="23"/>
  <c r="H16" i="23"/>
  <c r="J16" i="23" s="1"/>
  <c r="AD15" i="23"/>
  <c r="AC15" i="23"/>
  <c r="AB15" i="23"/>
  <c r="X15" i="23"/>
  <c r="W15" i="23"/>
  <c r="Y15" i="23" s="1"/>
  <c r="S15" i="23"/>
  <c r="R15" i="23"/>
  <c r="T15" i="23" s="1"/>
  <c r="N15" i="23"/>
  <c r="M15" i="23"/>
  <c r="O15" i="23" s="1"/>
  <c r="J15" i="23"/>
  <c r="I15" i="23"/>
  <c r="H15" i="23"/>
  <c r="AC14" i="23"/>
  <c r="AB14" i="23"/>
  <c r="AD14" i="23" s="1"/>
  <c r="X14" i="23"/>
  <c r="W14" i="23"/>
  <c r="Y14" i="23" s="1"/>
  <c r="S14" i="23"/>
  <c r="T14" i="23" s="1"/>
  <c r="R14" i="23"/>
  <c r="N14" i="23"/>
  <c r="M14" i="23"/>
  <c r="O14" i="23" s="1"/>
  <c r="I14" i="23"/>
  <c r="H14" i="23"/>
  <c r="J14" i="23" s="1"/>
  <c r="AC13" i="23"/>
  <c r="AB13" i="23"/>
  <c r="AD13" i="23" s="1"/>
  <c r="Y13" i="23"/>
  <c r="X13" i="23"/>
  <c r="W13" i="23"/>
  <c r="S13" i="23"/>
  <c r="R13" i="23"/>
  <c r="T13" i="23" s="1"/>
  <c r="N13" i="23"/>
  <c r="M13" i="23"/>
  <c r="O13" i="23" s="1"/>
  <c r="I13" i="23"/>
  <c r="H13" i="23"/>
  <c r="J13" i="23" s="1"/>
  <c r="I38" i="40"/>
  <c r="G29" i="31" l="1"/>
  <c r="O9" i="39"/>
  <c r="Q9" i="39"/>
  <c r="M4" i="40"/>
  <c r="M10" i="40"/>
  <c r="M3" i="40"/>
  <c r="J10" i="40"/>
  <c r="I10" i="40"/>
  <c r="D43" i="40"/>
  <c r="D42" i="40"/>
  <c r="D41" i="40"/>
  <c r="D40" i="40"/>
  <c r="D39" i="40"/>
  <c r="D37" i="40"/>
  <c r="D44" i="40"/>
  <c r="M40" i="40"/>
  <c r="I41" i="40"/>
  <c r="M41" i="40" s="1"/>
  <c r="J41" i="40"/>
  <c r="I42" i="40"/>
  <c r="M42" i="40" s="1"/>
  <c r="J42" i="40"/>
  <c r="I43" i="40"/>
  <c r="M43" i="40" s="1"/>
  <c r="J43" i="40"/>
  <c r="I44" i="40"/>
  <c r="J40" i="40"/>
  <c r="I40" i="40"/>
  <c r="F44" i="40"/>
  <c r="J44" i="40" s="1"/>
  <c r="F43" i="40"/>
  <c r="I34" i="40"/>
  <c r="J34" i="40"/>
  <c r="D44" i="16"/>
  <c r="D43" i="16"/>
  <c r="D42" i="16"/>
  <c r="D36" i="16"/>
  <c r="AD10" i="17"/>
  <c r="AD9" i="17"/>
  <c r="AD8" i="17"/>
  <c r="AD7" i="17"/>
  <c r="D119" i="16"/>
  <c r="G5" i="31"/>
  <c r="H18" i="40"/>
  <c r="I3" i="40"/>
  <c r="J3" i="40" s="1"/>
  <c r="I4" i="40"/>
  <c r="J4" i="40" s="1"/>
  <c r="I39" i="40"/>
  <c r="J38" i="40"/>
  <c r="D10" i="40"/>
  <c r="J35" i="40"/>
  <c r="I35" i="40"/>
  <c r="H36" i="40"/>
  <c r="J36" i="40" s="1"/>
  <c r="J24" i="40"/>
  <c r="J25" i="40"/>
  <c r="J26" i="40"/>
  <c r="J27" i="40"/>
  <c r="J28" i="40"/>
  <c r="J29" i="40"/>
  <c r="J30" i="40"/>
  <c r="J31" i="40"/>
  <c r="J32" i="40"/>
  <c r="J33" i="40"/>
  <c r="I24" i="40"/>
  <c r="I25" i="40"/>
  <c r="I26" i="40"/>
  <c r="I27" i="40"/>
  <c r="I28" i="40"/>
  <c r="I29" i="40"/>
  <c r="I30" i="40"/>
  <c r="I31" i="40"/>
  <c r="I32" i="40"/>
  <c r="I33" i="40"/>
  <c r="J20" i="40"/>
  <c r="J21" i="40"/>
  <c r="J22" i="40"/>
  <c r="J23" i="40"/>
  <c r="I20" i="40"/>
  <c r="I21" i="40"/>
  <c r="I22" i="40"/>
  <c r="I23" i="40"/>
  <c r="J19" i="40"/>
  <c r="I19" i="40"/>
  <c r="J17" i="40"/>
  <c r="J16" i="40"/>
  <c r="I17" i="40"/>
  <c r="I16" i="40"/>
  <c r="I12" i="40"/>
  <c r="J12" i="40" s="1"/>
  <c r="I13" i="40"/>
  <c r="J13" i="40" s="1"/>
  <c r="I14" i="40"/>
  <c r="J14" i="40" s="1"/>
  <c r="I15" i="40"/>
  <c r="J15" i="40" s="1"/>
  <c r="I11" i="40"/>
  <c r="J11" i="40" s="1"/>
  <c r="I6" i="40"/>
  <c r="J6" i="40" s="1"/>
  <c r="I7" i="40"/>
  <c r="J7" i="40" s="1"/>
  <c r="I8" i="40"/>
  <c r="J8" i="40" s="1"/>
  <c r="I9" i="40"/>
  <c r="J9" i="40" s="1"/>
  <c r="I5" i="40"/>
  <c r="J5" i="40" s="1"/>
  <c r="BB9" i="39"/>
  <c r="AZ9" i="39"/>
  <c r="M44" i="40" l="1"/>
  <c r="M34" i="40"/>
  <c r="M38" i="40"/>
  <c r="D3" i="40"/>
  <c r="J39" i="40"/>
  <c r="M39" i="40" s="1"/>
  <c r="I36" i="40"/>
  <c r="M36" i="40" s="1"/>
  <c r="D36" i="40" s="1"/>
  <c r="D34" i="40"/>
  <c r="M21" i="40"/>
  <c r="D21" i="40" s="1"/>
  <c r="M20" i="40"/>
  <c r="D20" i="40" s="1"/>
  <c r="M29" i="40"/>
  <c r="D29" i="40" s="1"/>
  <c r="M16" i="40"/>
  <c r="M28" i="40"/>
  <c r="D28" i="40" s="1"/>
  <c r="M27" i="40"/>
  <c r="D27" i="40" s="1"/>
  <c r="M11" i="40"/>
  <c r="D11" i="40" s="1"/>
  <c r="M24" i="40"/>
  <c r="D24" i="40" s="1"/>
  <c r="M35" i="40"/>
  <c r="D35" i="40" s="1"/>
  <c r="M26" i="40"/>
  <c r="D26" i="40" s="1"/>
  <c r="M33" i="40"/>
  <c r="D33" i="40" s="1"/>
  <c r="M31" i="40"/>
  <c r="D31" i="40" s="1"/>
  <c r="M30" i="40"/>
  <c r="D30" i="40" s="1"/>
  <c r="M25" i="40"/>
  <c r="D25" i="40" s="1"/>
  <c r="M32" i="40"/>
  <c r="D32" i="40" s="1"/>
  <c r="M22" i="40"/>
  <c r="D22" i="40" s="1"/>
  <c r="D103" i="16" s="1"/>
  <c r="M8" i="40"/>
  <c r="D8" i="40" s="1"/>
  <c r="M7" i="40"/>
  <c r="D7" i="40" s="1"/>
  <c r="M6" i="40"/>
  <c r="D6" i="40" s="1"/>
  <c r="M15" i="40"/>
  <c r="D15" i="40" s="1"/>
  <c r="M13" i="40"/>
  <c r="D13" i="40" s="1"/>
  <c r="M12" i="40"/>
  <c r="D12" i="40" s="1"/>
  <c r="M14" i="40"/>
  <c r="D14" i="40" s="1"/>
  <c r="M5" i="40"/>
  <c r="D5" i="40" s="1"/>
  <c r="M9" i="40"/>
  <c r="D9" i="40" s="1"/>
  <c r="AA9" i="39"/>
  <c r="Y9" i="39"/>
  <c r="F112" i="16"/>
  <c r="F113" i="16"/>
  <c r="F114" i="16"/>
  <c r="F115" i="16"/>
  <c r="F116" i="16"/>
  <c r="I27" i="31"/>
  <c r="I26" i="31"/>
  <c r="I25" i="31"/>
  <c r="AS9" i="39"/>
  <c r="AQ9" i="39"/>
  <c r="M19" i="40" l="1"/>
  <c r="D19" i="40" s="1"/>
  <c r="D4" i="40"/>
  <c r="D142" i="16"/>
  <c r="I4" i="31" l="1"/>
  <c r="D145" i="16" l="1"/>
  <c r="D144" i="16"/>
  <c r="D143" i="16"/>
  <c r="AP13" i="24"/>
  <c r="AO13" i="24"/>
  <c r="AN13" i="24"/>
  <c r="AM13" i="24"/>
  <c r="AL7" i="24"/>
  <c r="AL8" i="24" s="1"/>
  <c r="AL9" i="24" s="1"/>
  <c r="AL10" i="24" s="1"/>
  <c r="AL11" i="24" s="1"/>
  <c r="AL12" i="24" s="1"/>
  <c r="AL13" i="24" s="1"/>
  <c r="AJ8" i="24"/>
  <c r="AJ9" i="24"/>
  <c r="AJ10" i="24"/>
  <c r="AJ11" i="24" s="1"/>
  <c r="AJ12" i="24" s="1"/>
  <c r="AJ13" i="24" s="1"/>
  <c r="AJ7" i="24"/>
  <c r="D124" i="16"/>
  <c r="D132" i="16"/>
  <c r="D130" i="16"/>
  <c r="D126" i="16"/>
  <c r="F120" i="16"/>
  <c r="G120" i="16" s="1"/>
  <c r="H120" i="16" s="1"/>
  <c r="H119" i="16"/>
  <c r="D125" i="16"/>
  <c r="F118" i="16"/>
  <c r="G118" i="16" s="1"/>
  <c r="H118" i="16" s="1"/>
  <c r="G119" i="16"/>
  <c r="BM16" i="17"/>
  <c r="BM15" i="17"/>
  <c r="BM14" i="17"/>
  <c r="BM13" i="17"/>
  <c r="BQ7" i="17"/>
  <c r="D39" i="16"/>
  <c r="G30" i="31"/>
  <c r="I5" i="31"/>
  <c r="D33" i="16"/>
  <c r="D49" i="16"/>
  <c r="D50" i="16"/>
  <c r="E29" i="31"/>
  <c r="E30" i="31"/>
  <c r="D34" i="16" l="1"/>
  <c r="D131" i="16"/>
  <c r="P18" i="31" s="1"/>
  <c r="F119" i="16"/>
  <c r="E5" i="31"/>
  <c r="D76" i="16"/>
  <c r="I13" i="31" s="1"/>
  <c r="I6" i="31"/>
  <c r="D74" i="16"/>
  <c r="D72" i="16"/>
  <c r="D71" i="16"/>
  <c r="D70" i="16"/>
  <c r="D69" i="16"/>
  <c r="D73" i="16"/>
  <c r="D67" i="16"/>
  <c r="I28" i="31" s="1"/>
  <c r="K13" i="26"/>
  <c r="J13" i="26"/>
  <c r="D94" i="16"/>
  <c r="D93" i="16"/>
  <c r="D92" i="16"/>
  <c r="D91" i="16"/>
  <c r="D90" i="16"/>
  <c r="D85" i="16"/>
  <c r="D84" i="16"/>
  <c r="D83" i="16"/>
  <c r="D82" i="16"/>
  <c r="D81" i="16"/>
  <c r="D80" i="16"/>
  <c r="D60" i="16"/>
  <c r="D59" i="16"/>
  <c r="H7" i="17"/>
  <c r="D110" i="16"/>
  <c r="D109" i="16"/>
  <c r="D108" i="16"/>
  <c r="D107" i="16"/>
  <c r="D106" i="16"/>
  <c r="D104" i="16"/>
  <c r="D102" i="16"/>
  <c r="D101" i="16"/>
  <c r="D100" i="16"/>
  <c r="I7" i="31" l="1"/>
  <c r="I12" i="31"/>
  <c r="I21" i="31"/>
  <c r="I14" i="31"/>
  <c r="I22" i="31"/>
  <c r="I23" i="31"/>
  <c r="I15" i="31"/>
  <c r="I24" i="31"/>
  <c r="Z51" i="26"/>
  <c r="Y51" i="26"/>
  <c r="U51" i="26"/>
  <c r="T51" i="26"/>
  <c r="P51" i="26"/>
  <c r="O51" i="26"/>
  <c r="K51" i="26"/>
  <c r="J51" i="26"/>
  <c r="F51" i="26"/>
  <c r="E51" i="26"/>
  <c r="E6" i="24"/>
  <c r="E7" i="24"/>
  <c r="E8" i="24"/>
  <c r="E9" i="24"/>
  <c r="E10" i="24"/>
  <c r="AA51" i="26" l="1"/>
  <c r="AL48" i="39" s="1"/>
  <c r="K48" i="39"/>
  <c r="V51" i="26"/>
  <c r="AK48" i="39" s="1"/>
  <c r="G51" i="26"/>
  <c r="AH48" i="39" s="1"/>
  <c r="L51" i="26"/>
  <c r="AI48" i="39" s="1"/>
  <c r="Q51" i="26"/>
  <c r="AJ48" i="39" s="1"/>
  <c r="J48" i="39"/>
  <c r="I48" i="39"/>
  <c r="H48" i="39"/>
  <c r="G48" i="39"/>
  <c r="AJ6" i="17"/>
  <c r="AJ7" i="17"/>
  <c r="AE8" i="17"/>
  <c r="AN8" i="17" s="1"/>
  <c r="AJ8" i="17"/>
  <c r="AE9" i="17"/>
  <c r="AI9" i="17" s="1"/>
  <c r="AJ9" i="17"/>
  <c r="AE10" i="17"/>
  <c r="AN10" i="17" s="1"/>
  <c r="D29" i="16" s="1"/>
  <c r="AJ10" i="17"/>
  <c r="D7" i="29"/>
  <c r="E7" i="29"/>
  <c r="F7" i="29"/>
  <c r="M7" i="29"/>
  <c r="N7" i="29"/>
  <c r="O7" i="29"/>
  <c r="R7" i="29" s="1"/>
  <c r="P7" i="29"/>
  <c r="Q7" i="29"/>
  <c r="D8" i="29"/>
  <c r="M8" i="29" s="1"/>
  <c r="E8" i="29"/>
  <c r="F8" i="29"/>
  <c r="D9" i="29"/>
  <c r="P9" i="29" s="1"/>
  <c r="E9" i="29"/>
  <c r="F9" i="29"/>
  <c r="M9" i="29"/>
  <c r="N9" i="29"/>
  <c r="O9" i="29"/>
  <c r="Q9" i="29"/>
  <c r="D10" i="29"/>
  <c r="E10" i="29"/>
  <c r="F10" i="29"/>
  <c r="M10" i="29"/>
  <c r="N10" i="29"/>
  <c r="Q10" i="29" s="1"/>
  <c r="O10" i="29"/>
  <c r="P10" i="29"/>
  <c r="R10" i="29"/>
  <c r="D11" i="29"/>
  <c r="E11" i="29"/>
  <c r="F11" i="29"/>
  <c r="M11" i="29"/>
  <c r="N11" i="29"/>
  <c r="O11" i="29"/>
  <c r="R11" i="29" s="1"/>
  <c r="P11" i="29"/>
  <c r="Q11" i="29"/>
  <c r="D12" i="29"/>
  <c r="M12" i="29" s="1"/>
  <c r="E12" i="29"/>
  <c r="F12" i="29"/>
  <c r="J25" i="17"/>
  <c r="I25" i="17"/>
  <c r="H25" i="17"/>
  <c r="J24" i="17"/>
  <c r="I24" i="17"/>
  <c r="H24" i="17"/>
  <c r="J23" i="17"/>
  <c r="I23" i="17"/>
  <c r="H23" i="17"/>
  <c r="J22" i="17"/>
  <c r="I22" i="17"/>
  <c r="H22" i="17"/>
  <c r="J21" i="17"/>
  <c r="I21" i="17"/>
  <c r="H21" i="17"/>
  <c r="J20" i="17"/>
  <c r="I20" i="17"/>
  <c r="H20" i="17"/>
  <c r="J19" i="17"/>
  <c r="I19" i="17"/>
  <c r="H19" i="17"/>
  <c r="J18" i="17"/>
  <c r="I18" i="17"/>
  <c r="H18" i="17"/>
  <c r="J17" i="17"/>
  <c r="I17" i="17"/>
  <c r="H17" i="17"/>
  <c r="J15" i="17"/>
  <c r="I15" i="17"/>
  <c r="H15" i="17"/>
  <c r="J14" i="17"/>
  <c r="I14" i="17"/>
  <c r="H14" i="17"/>
  <c r="J13" i="17"/>
  <c r="I13" i="17"/>
  <c r="H13" i="17"/>
  <c r="J12" i="17"/>
  <c r="I12" i="17"/>
  <c r="H12" i="17"/>
  <c r="J11" i="17"/>
  <c r="I11" i="17"/>
  <c r="H11" i="17"/>
  <c r="J10" i="17"/>
  <c r="I10" i="17"/>
  <c r="H10" i="17"/>
  <c r="J9" i="17"/>
  <c r="I9" i="17"/>
  <c r="H9" i="17"/>
  <c r="J8" i="17"/>
  <c r="I8" i="17"/>
  <c r="H8" i="17"/>
  <c r="J7" i="17"/>
  <c r="I7" i="17"/>
  <c r="AH7" i="24"/>
  <c r="AH8" i="24" s="1"/>
  <c r="AH9" i="24" s="1"/>
  <c r="AH10" i="24" s="1"/>
  <c r="AH11" i="24" s="1"/>
  <c r="AH12" i="24" s="1"/>
  <c r="AH13" i="24" s="1"/>
  <c r="AG7" i="24"/>
  <c r="AG8" i="24" s="1"/>
  <c r="AG9" i="24" s="1"/>
  <c r="AG10" i="24" s="1"/>
  <c r="AG11" i="24" s="1"/>
  <c r="AG12" i="24" s="1"/>
  <c r="AG13" i="24" s="1"/>
  <c r="AE7" i="24"/>
  <c r="AE8" i="24" s="1"/>
  <c r="AE9" i="24" s="1"/>
  <c r="AE10" i="24" s="1"/>
  <c r="AE11" i="24" s="1"/>
  <c r="AE12" i="24" s="1"/>
  <c r="AE13" i="24" s="1"/>
  <c r="AD7" i="24"/>
  <c r="AD8" i="24" s="1"/>
  <c r="AD9" i="24" s="1"/>
  <c r="AD10" i="24" s="1"/>
  <c r="AD11" i="24" s="1"/>
  <c r="AD12" i="24" s="1"/>
  <c r="AD13" i="24" s="1"/>
  <c r="AC7" i="24"/>
  <c r="AC8" i="24" s="1"/>
  <c r="AC9" i="24" s="1"/>
  <c r="AC10" i="24" s="1"/>
  <c r="AC11" i="24" s="1"/>
  <c r="AC12" i="24" s="1"/>
  <c r="AC13" i="24" s="1"/>
  <c r="AB7" i="24"/>
  <c r="AB8" i="24" s="1"/>
  <c r="AB9" i="24" s="1"/>
  <c r="AB10" i="24" s="1"/>
  <c r="AB11" i="24" s="1"/>
  <c r="AB12" i="24" s="1"/>
  <c r="AB13" i="24" s="1"/>
  <c r="AA7" i="24"/>
  <c r="AA8" i="24" s="1"/>
  <c r="AA9" i="24" s="1"/>
  <c r="AA10" i="24" s="1"/>
  <c r="AA11" i="24" s="1"/>
  <c r="AA12" i="24" s="1"/>
  <c r="AA13" i="24" s="1"/>
  <c r="Y7" i="24"/>
  <c r="Y8" i="24" s="1"/>
  <c r="Y9" i="24" s="1"/>
  <c r="Y10" i="24" s="1"/>
  <c r="Y11" i="24" s="1"/>
  <c r="Y12" i="24" s="1"/>
  <c r="Y13" i="24" s="1"/>
  <c r="E14" i="31" l="1"/>
  <c r="E23" i="31"/>
  <c r="D22" i="16"/>
  <c r="G14" i="31"/>
  <c r="D27" i="16"/>
  <c r="G23" i="31"/>
  <c r="AI10" i="17"/>
  <c r="D23" i="16" s="1"/>
  <c r="AI8" i="17"/>
  <c r="G8" i="31" s="1"/>
  <c r="AN9" i="17"/>
  <c r="D53" i="16" s="1"/>
  <c r="N12" i="29"/>
  <c r="P12" i="29"/>
  <c r="P8" i="29"/>
  <c r="Q12" i="29"/>
  <c r="O12" i="29"/>
  <c r="R12" i="29" s="1"/>
  <c r="R9" i="29"/>
  <c r="O8" i="29"/>
  <c r="R8" i="29" s="1"/>
  <c r="N8" i="29"/>
  <c r="Q8" i="29" s="1"/>
  <c r="X7" i="24"/>
  <c r="X8" i="24" s="1"/>
  <c r="X9" i="24" s="1"/>
  <c r="X10" i="24" s="1"/>
  <c r="X11" i="24" s="1"/>
  <c r="X12" i="24" s="1"/>
  <c r="X13" i="24" s="1"/>
  <c r="W7" i="24"/>
  <c r="W8" i="24" s="1"/>
  <c r="W9" i="24" s="1"/>
  <c r="W10" i="24" s="1"/>
  <c r="W11" i="24" s="1"/>
  <c r="W12" i="24" s="1"/>
  <c r="W13" i="24" s="1"/>
  <c r="V7" i="24"/>
  <c r="V8" i="24" s="1"/>
  <c r="V9" i="24" s="1"/>
  <c r="V10" i="24" s="1"/>
  <c r="V11" i="24" s="1"/>
  <c r="V12" i="24" s="1"/>
  <c r="V13" i="24" s="1"/>
  <c r="E10" i="31" l="1"/>
  <c r="D21" i="16"/>
  <c r="E19" i="31"/>
  <c r="G10" i="31"/>
  <c r="G19" i="31"/>
  <c r="D52" i="16"/>
  <c r="P8" i="31" s="1"/>
  <c r="D28" i="16"/>
  <c r="D88" i="16"/>
  <c r="D87" i="16"/>
  <c r="O23" i="24"/>
  <c r="I10" i="24" l="1"/>
  <c r="K11" i="24"/>
  <c r="K6" i="24"/>
  <c r="K8" i="24"/>
  <c r="K9" i="24"/>
  <c r="Z14" i="26"/>
  <c r="Z15" i="26"/>
  <c r="Z16" i="26"/>
  <c r="Z17" i="26"/>
  <c r="Z18" i="26"/>
  <c r="Z19" i="26"/>
  <c r="Z20" i="26"/>
  <c r="Z21" i="26"/>
  <c r="Z22" i="26"/>
  <c r="Z23" i="26"/>
  <c r="Z24" i="26"/>
  <c r="Z25" i="26"/>
  <c r="Z26" i="26"/>
  <c r="Z27" i="26"/>
  <c r="Z28" i="26"/>
  <c r="Z29" i="26"/>
  <c r="Z30" i="26"/>
  <c r="Z31" i="26"/>
  <c r="Z32" i="26"/>
  <c r="Z33" i="26"/>
  <c r="Z34" i="26"/>
  <c r="Z35" i="26"/>
  <c r="Z36" i="26"/>
  <c r="Z37" i="26"/>
  <c r="Z38" i="26"/>
  <c r="Z39" i="26"/>
  <c r="Z40" i="26"/>
  <c r="Z41" i="26"/>
  <c r="Z42" i="26"/>
  <c r="Z43" i="26"/>
  <c r="Z44" i="26"/>
  <c r="Z45" i="26"/>
  <c r="Z46" i="26"/>
  <c r="Z47" i="26"/>
  <c r="Z48" i="26"/>
  <c r="Z49" i="26"/>
  <c r="Z50" i="26"/>
  <c r="Z13" i="26"/>
  <c r="Y14" i="26"/>
  <c r="Y15" i="26"/>
  <c r="Y16" i="26"/>
  <c r="Y17" i="26"/>
  <c r="Y18" i="26"/>
  <c r="Y19" i="26"/>
  <c r="Y20" i="26"/>
  <c r="Y21" i="26"/>
  <c r="Y22" i="26"/>
  <c r="Y23" i="26"/>
  <c r="Y24" i="26"/>
  <c r="Y25" i="26"/>
  <c r="Y26" i="26"/>
  <c r="Y27" i="26"/>
  <c r="Y28" i="26"/>
  <c r="Y29" i="26"/>
  <c r="Y30" i="26"/>
  <c r="Y31" i="26"/>
  <c r="Y32" i="26"/>
  <c r="Y33" i="26"/>
  <c r="Y34" i="26"/>
  <c r="Y35" i="26"/>
  <c r="Y36" i="26"/>
  <c r="Y37" i="26"/>
  <c r="Y38" i="26"/>
  <c r="Y39" i="26"/>
  <c r="Y40" i="26"/>
  <c r="Y41" i="26"/>
  <c r="Y42" i="26"/>
  <c r="Y43" i="26"/>
  <c r="Y44" i="26"/>
  <c r="Y45" i="26"/>
  <c r="Y46" i="26"/>
  <c r="Y47" i="26"/>
  <c r="Y48" i="26"/>
  <c r="Y49" i="26"/>
  <c r="Y50" i="26"/>
  <c r="Y13" i="26"/>
  <c r="P14" i="26"/>
  <c r="P15" i="26"/>
  <c r="P16" i="26"/>
  <c r="P17" i="26"/>
  <c r="P18" i="26"/>
  <c r="P19" i="26"/>
  <c r="P20" i="26"/>
  <c r="P21" i="26"/>
  <c r="P22" i="26"/>
  <c r="P23" i="26"/>
  <c r="P24" i="26"/>
  <c r="P25" i="26"/>
  <c r="P26" i="26"/>
  <c r="P27" i="26"/>
  <c r="P28" i="26"/>
  <c r="P29" i="26"/>
  <c r="P30" i="26"/>
  <c r="P31" i="26"/>
  <c r="P32" i="26"/>
  <c r="P33" i="26"/>
  <c r="P34" i="26"/>
  <c r="P35" i="26"/>
  <c r="P36" i="26"/>
  <c r="P37" i="26"/>
  <c r="P38" i="26"/>
  <c r="P39" i="26"/>
  <c r="P40" i="26"/>
  <c r="P41" i="26"/>
  <c r="P42" i="26"/>
  <c r="P43" i="26"/>
  <c r="P44" i="26"/>
  <c r="P45" i="26"/>
  <c r="P46" i="26"/>
  <c r="P47" i="26"/>
  <c r="P48" i="26"/>
  <c r="P49" i="26"/>
  <c r="P50" i="26"/>
  <c r="P13" i="26"/>
  <c r="U14" i="26"/>
  <c r="U15" i="26"/>
  <c r="U16" i="26"/>
  <c r="U17" i="26"/>
  <c r="U18" i="26"/>
  <c r="U19" i="26"/>
  <c r="U20" i="26"/>
  <c r="U21" i="26"/>
  <c r="U22" i="26"/>
  <c r="U23" i="26"/>
  <c r="U24" i="26"/>
  <c r="U25" i="26"/>
  <c r="U26" i="26"/>
  <c r="U27" i="26"/>
  <c r="U28" i="26"/>
  <c r="U29" i="26"/>
  <c r="U30" i="26"/>
  <c r="U31" i="26"/>
  <c r="U32" i="26"/>
  <c r="U33" i="26"/>
  <c r="U34" i="26"/>
  <c r="U35" i="26"/>
  <c r="U36" i="26"/>
  <c r="U37" i="26"/>
  <c r="U38" i="26"/>
  <c r="U39" i="26"/>
  <c r="U40" i="26"/>
  <c r="U41" i="26"/>
  <c r="U42" i="26"/>
  <c r="U43" i="26"/>
  <c r="U44" i="26"/>
  <c r="U45" i="26"/>
  <c r="U46" i="26"/>
  <c r="U47" i="26"/>
  <c r="U48" i="26"/>
  <c r="U49" i="26"/>
  <c r="U50" i="26"/>
  <c r="U13" i="26"/>
  <c r="T14" i="26"/>
  <c r="T15" i="26"/>
  <c r="T16" i="26"/>
  <c r="T17" i="26"/>
  <c r="T18" i="26"/>
  <c r="T19" i="26"/>
  <c r="T20" i="26"/>
  <c r="T21" i="26"/>
  <c r="T22" i="26"/>
  <c r="T23" i="26"/>
  <c r="T24" i="26"/>
  <c r="T25" i="26"/>
  <c r="T26" i="26"/>
  <c r="T27" i="26"/>
  <c r="T28" i="26"/>
  <c r="T29" i="26"/>
  <c r="T30" i="26"/>
  <c r="T31" i="26"/>
  <c r="T32" i="26"/>
  <c r="T33" i="26"/>
  <c r="T34" i="26"/>
  <c r="T35" i="26"/>
  <c r="T36" i="26"/>
  <c r="T37" i="26"/>
  <c r="T38" i="26"/>
  <c r="T39" i="26"/>
  <c r="T40" i="26"/>
  <c r="T41" i="26"/>
  <c r="T42" i="26"/>
  <c r="T43" i="26"/>
  <c r="T44" i="26"/>
  <c r="T45" i="26"/>
  <c r="T46" i="26"/>
  <c r="T47" i="26"/>
  <c r="T48" i="26"/>
  <c r="T49" i="26"/>
  <c r="T50" i="26"/>
  <c r="T13" i="26"/>
  <c r="F15" i="26"/>
  <c r="O14" i="26"/>
  <c r="O15" i="26"/>
  <c r="O16" i="26"/>
  <c r="O17" i="26"/>
  <c r="O18" i="26"/>
  <c r="O19" i="26"/>
  <c r="O20" i="26"/>
  <c r="O21" i="26"/>
  <c r="O22" i="26"/>
  <c r="O23" i="26"/>
  <c r="O24" i="26"/>
  <c r="O25" i="26"/>
  <c r="O26" i="26"/>
  <c r="O27" i="26"/>
  <c r="O28" i="26"/>
  <c r="O29" i="26"/>
  <c r="O30" i="26"/>
  <c r="O31" i="26"/>
  <c r="O32" i="26"/>
  <c r="O33" i="26"/>
  <c r="O34" i="26"/>
  <c r="O35" i="26"/>
  <c r="O36" i="26"/>
  <c r="O37" i="26"/>
  <c r="O38" i="26"/>
  <c r="O39" i="26"/>
  <c r="O40" i="26"/>
  <c r="O41" i="26"/>
  <c r="O42" i="26"/>
  <c r="O43" i="26"/>
  <c r="O44" i="26"/>
  <c r="O45" i="26"/>
  <c r="O46" i="26"/>
  <c r="O47" i="26"/>
  <c r="O48" i="26"/>
  <c r="O49" i="26"/>
  <c r="O50" i="26"/>
  <c r="O13" i="26"/>
  <c r="K14" i="26"/>
  <c r="K15" i="26"/>
  <c r="K16" i="26"/>
  <c r="K17" i="26"/>
  <c r="K18" i="26"/>
  <c r="K19" i="26"/>
  <c r="K20" i="26"/>
  <c r="K21" i="26"/>
  <c r="K22" i="26"/>
  <c r="K23" i="26"/>
  <c r="K24" i="26"/>
  <c r="K25" i="26"/>
  <c r="K26" i="26"/>
  <c r="K27" i="26"/>
  <c r="K28" i="26"/>
  <c r="K29" i="26"/>
  <c r="K30" i="26"/>
  <c r="K31" i="26"/>
  <c r="K32" i="26"/>
  <c r="K33" i="26"/>
  <c r="K34" i="26"/>
  <c r="K35" i="26"/>
  <c r="K36" i="26"/>
  <c r="K37" i="26"/>
  <c r="K38" i="26"/>
  <c r="K39" i="26"/>
  <c r="K40" i="26"/>
  <c r="K41" i="26"/>
  <c r="K42" i="26"/>
  <c r="K43" i="26"/>
  <c r="K44" i="26"/>
  <c r="K45" i="26"/>
  <c r="K46" i="26"/>
  <c r="K47" i="26"/>
  <c r="K48" i="26"/>
  <c r="K49" i="26"/>
  <c r="K50" i="26"/>
  <c r="J14" i="26"/>
  <c r="J15" i="26"/>
  <c r="J16" i="26"/>
  <c r="J17" i="26"/>
  <c r="J18" i="26"/>
  <c r="J19" i="26"/>
  <c r="J20" i="26"/>
  <c r="J21" i="26"/>
  <c r="J22" i="26"/>
  <c r="J23" i="26"/>
  <c r="J24" i="26"/>
  <c r="J25" i="26"/>
  <c r="J26" i="26"/>
  <c r="J27" i="26"/>
  <c r="J28" i="26"/>
  <c r="J29" i="26"/>
  <c r="J30" i="26"/>
  <c r="J31" i="26"/>
  <c r="J32" i="26"/>
  <c r="J33" i="26"/>
  <c r="J34" i="26"/>
  <c r="J35" i="26"/>
  <c r="J36" i="26"/>
  <c r="J37" i="26"/>
  <c r="J38" i="26"/>
  <c r="J39" i="26"/>
  <c r="J40" i="26"/>
  <c r="J41" i="26"/>
  <c r="J42" i="26"/>
  <c r="J43" i="26"/>
  <c r="J44" i="26"/>
  <c r="J45" i="26"/>
  <c r="J46" i="26"/>
  <c r="J47" i="26"/>
  <c r="J48" i="26"/>
  <c r="J49" i="26"/>
  <c r="J50" i="26"/>
  <c r="F14" i="26"/>
  <c r="F16" i="26"/>
  <c r="F17" i="26"/>
  <c r="F18" i="26"/>
  <c r="F19" i="26"/>
  <c r="F20" i="26"/>
  <c r="F21" i="26"/>
  <c r="F22" i="26"/>
  <c r="F23" i="26"/>
  <c r="F24" i="26"/>
  <c r="F25" i="26"/>
  <c r="F26" i="26"/>
  <c r="F27" i="26"/>
  <c r="F28" i="26"/>
  <c r="F29" i="26"/>
  <c r="F30" i="26"/>
  <c r="F31" i="26"/>
  <c r="F32" i="26"/>
  <c r="F33" i="26"/>
  <c r="F34" i="26"/>
  <c r="F35" i="26"/>
  <c r="F36" i="26"/>
  <c r="F37" i="26"/>
  <c r="F38" i="26"/>
  <c r="F39" i="26"/>
  <c r="F40" i="26"/>
  <c r="F41" i="26"/>
  <c r="F42" i="26"/>
  <c r="F43" i="26"/>
  <c r="F44" i="26"/>
  <c r="F45" i="26"/>
  <c r="F46" i="26"/>
  <c r="F47" i="26"/>
  <c r="F48" i="26"/>
  <c r="F49" i="26"/>
  <c r="F50" i="26"/>
  <c r="F13" i="26"/>
  <c r="E14" i="26"/>
  <c r="E15" i="26"/>
  <c r="E16" i="26"/>
  <c r="E17" i="26"/>
  <c r="E18" i="26"/>
  <c r="E19" i="26"/>
  <c r="E20" i="26"/>
  <c r="E21" i="26"/>
  <c r="E22" i="26"/>
  <c r="E23" i="26"/>
  <c r="E24" i="26"/>
  <c r="E25" i="26"/>
  <c r="E26" i="26"/>
  <c r="E27" i="26"/>
  <c r="E28" i="26"/>
  <c r="E29" i="26"/>
  <c r="E30" i="26"/>
  <c r="E31" i="26"/>
  <c r="E32" i="26"/>
  <c r="E33" i="26"/>
  <c r="E34" i="26"/>
  <c r="E35" i="26"/>
  <c r="E36" i="26"/>
  <c r="E37" i="26"/>
  <c r="E38" i="26"/>
  <c r="E39" i="26"/>
  <c r="E40" i="26"/>
  <c r="E41" i="26"/>
  <c r="E42" i="26"/>
  <c r="E43" i="26"/>
  <c r="E44" i="26"/>
  <c r="E45" i="26"/>
  <c r="E46" i="26"/>
  <c r="E47" i="26"/>
  <c r="E48" i="26"/>
  <c r="E49" i="26"/>
  <c r="E50" i="26"/>
  <c r="E13" i="26"/>
  <c r="J16" i="39"/>
  <c r="J17" i="39"/>
  <c r="J28" i="39"/>
  <c r="J29" i="39"/>
  <c r="J31" i="39"/>
  <c r="J40" i="39"/>
  <c r="K11" i="39"/>
  <c r="K21" i="39"/>
  <c r="K23" i="39"/>
  <c r="K30" i="39"/>
  <c r="K35" i="39"/>
  <c r="K42" i="39"/>
  <c r="J10" i="39"/>
  <c r="E5" i="23"/>
  <c r="E6" i="23"/>
  <c r="E7" i="23"/>
  <c r="E8" i="23"/>
  <c r="E4" i="23"/>
  <c r="J44" i="39" l="1"/>
  <c r="K47" i="39"/>
  <c r="J43" i="39"/>
  <c r="J32" i="39"/>
  <c r="J20" i="39"/>
  <c r="J41" i="39"/>
  <c r="J19" i="39"/>
  <c r="H41" i="39"/>
  <c r="AA49" i="26"/>
  <c r="AL46" i="39" s="1"/>
  <c r="AA37" i="26"/>
  <c r="AL34" i="39" s="1"/>
  <c r="AA25" i="26"/>
  <c r="AL22" i="39" s="1"/>
  <c r="H38" i="39"/>
  <c r="H26" i="39"/>
  <c r="H14" i="39"/>
  <c r="H39" i="39"/>
  <c r="H27" i="39"/>
  <c r="H15" i="39"/>
  <c r="L17" i="26"/>
  <c r="AI14" i="39" s="1"/>
  <c r="Q43" i="26"/>
  <c r="AJ40" i="39" s="1"/>
  <c r="Q31" i="26"/>
  <c r="AJ28" i="39" s="1"/>
  <c r="Q19" i="26"/>
  <c r="AJ16" i="39" s="1"/>
  <c r="Q30" i="26"/>
  <c r="AJ27" i="39" s="1"/>
  <c r="Q42" i="26"/>
  <c r="AJ39" i="39" s="1"/>
  <c r="Q18" i="26"/>
  <c r="AJ15" i="39" s="1"/>
  <c r="Q25" i="26"/>
  <c r="AJ22" i="39" s="1"/>
  <c r="L45" i="26"/>
  <c r="AI42" i="39" s="1"/>
  <c r="L33" i="26"/>
  <c r="AI30" i="39" s="1"/>
  <c r="L21" i="26"/>
  <c r="AI18" i="39" s="1"/>
  <c r="G41" i="26"/>
  <c r="AH38" i="39" s="1"/>
  <c r="G29" i="26"/>
  <c r="AH26" i="39" s="1"/>
  <c r="L44" i="26"/>
  <c r="AI41" i="39" s="1"/>
  <c r="L32" i="26"/>
  <c r="AI29" i="39" s="1"/>
  <c r="L20" i="26"/>
  <c r="AI17" i="39" s="1"/>
  <c r="Q40" i="26"/>
  <c r="AJ37" i="39" s="1"/>
  <c r="Q16" i="26"/>
  <c r="AJ13" i="39" s="1"/>
  <c r="Q37" i="26"/>
  <c r="AJ34" i="39" s="1"/>
  <c r="G38" i="26"/>
  <c r="AH35" i="39" s="1"/>
  <c r="L41" i="26"/>
  <c r="AI38" i="39" s="1"/>
  <c r="V50" i="26"/>
  <c r="AK47" i="39" s="1"/>
  <c r="AA44" i="26"/>
  <c r="AL41" i="39" s="1"/>
  <c r="AA32" i="26"/>
  <c r="AL29" i="39" s="1"/>
  <c r="AA20" i="26"/>
  <c r="AL17" i="39" s="1"/>
  <c r="Q28" i="26"/>
  <c r="AJ25" i="39" s="1"/>
  <c r="G50" i="26"/>
  <c r="AH47" i="39" s="1"/>
  <c r="G26" i="26"/>
  <c r="AH23" i="39" s="1"/>
  <c r="L29" i="26"/>
  <c r="AI26" i="39" s="1"/>
  <c r="AA15" i="26"/>
  <c r="AL12" i="39" s="1"/>
  <c r="Q38" i="26"/>
  <c r="AJ35" i="39" s="1"/>
  <c r="Q49" i="26"/>
  <c r="AJ46" i="39" s="1"/>
  <c r="Q48" i="26"/>
  <c r="AJ45" i="39" s="1"/>
  <c r="Q36" i="26"/>
  <c r="AJ33" i="39" s="1"/>
  <c r="Q24" i="26"/>
  <c r="AJ21" i="39" s="1"/>
  <c r="AA46" i="26"/>
  <c r="AL43" i="39" s="1"/>
  <c r="AA34" i="26"/>
  <c r="AL31" i="39" s="1"/>
  <c r="AA22" i="26"/>
  <c r="AL19" i="39" s="1"/>
  <c r="Q26" i="26"/>
  <c r="AJ23" i="39" s="1"/>
  <c r="Q50" i="26"/>
  <c r="AJ47" i="39" s="1"/>
  <c r="Q14" i="26"/>
  <c r="AJ11" i="39" s="1"/>
  <c r="V32" i="26"/>
  <c r="AK29" i="39" s="1"/>
  <c r="AA14" i="26"/>
  <c r="AL11" i="39" s="1"/>
  <c r="Q39" i="26"/>
  <c r="AJ36" i="39" s="1"/>
  <c r="Q47" i="26"/>
  <c r="AJ44" i="39" s="1"/>
  <c r="Q35" i="26"/>
  <c r="AJ32" i="39" s="1"/>
  <c r="Q23" i="26"/>
  <c r="AJ20" i="39" s="1"/>
  <c r="AA45" i="26"/>
  <c r="AL42" i="39" s="1"/>
  <c r="AA33" i="26"/>
  <c r="AL30" i="39" s="1"/>
  <c r="AA21" i="26"/>
  <c r="AL18" i="39" s="1"/>
  <c r="Q27" i="26"/>
  <c r="AJ24" i="39" s="1"/>
  <c r="G48" i="26"/>
  <c r="AH45" i="39" s="1"/>
  <c r="Q46" i="26"/>
  <c r="AJ43" i="39" s="1"/>
  <c r="Q34" i="26"/>
  <c r="AJ31" i="39" s="1"/>
  <c r="Q22" i="26"/>
  <c r="AJ19" i="39" s="1"/>
  <c r="Q13" i="26"/>
  <c r="AJ10" i="39" s="1"/>
  <c r="Q15" i="26"/>
  <c r="AJ12" i="39" s="1"/>
  <c r="Q45" i="26"/>
  <c r="AJ42" i="39" s="1"/>
  <c r="Q33" i="26"/>
  <c r="AJ30" i="39" s="1"/>
  <c r="Q21" i="26"/>
  <c r="AJ18" i="39" s="1"/>
  <c r="Q41" i="26"/>
  <c r="AJ38" i="39" s="1"/>
  <c r="Q29" i="26"/>
  <c r="AJ26" i="39" s="1"/>
  <c r="Q17" i="26"/>
  <c r="AJ14" i="39" s="1"/>
  <c r="G22" i="26"/>
  <c r="AH19" i="39" s="1"/>
  <c r="Q44" i="26"/>
  <c r="AJ41" i="39" s="1"/>
  <c r="Q32" i="26"/>
  <c r="AJ29" i="39" s="1"/>
  <c r="Q20" i="26"/>
  <c r="AJ17" i="39" s="1"/>
  <c r="G14" i="26"/>
  <c r="L43" i="26"/>
  <c r="AI40" i="39" s="1"/>
  <c r="L31" i="26"/>
  <c r="AI28" i="39" s="1"/>
  <c r="L19" i="26"/>
  <c r="AI16" i="39" s="1"/>
  <c r="AA48" i="26"/>
  <c r="AL45" i="39" s="1"/>
  <c r="AA36" i="26"/>
  <c r="AL33" i="39" s="1"/>
  <c r="AA24" i="26"/>
  <c r="AL21" i="39" s="1"/>
  <c r="G17" i="26"/>
  <c r="AH14" i="39" s="1"/>
  <c r="L42" i="26"/>
  <c r="AI39" i="39" s="1"/>
  <c r="L30" i="26"/>
  <c r="AI27" i="39" s="1"/>
  <c r="L18" i="26"/>
  <c r="AI15" i="39" s="1"/>
  <c r="G47" i="26"/>
  <c r="AH44" i="39" s="1"/>
  <c r="L48" i="26"/>
  <c r="AI45" i="39" s="1"/>
  <c r="L36" i="26"/>
  <c r="AI33" i="39" s="1"/>
  <c r="L24" i="26"/>
  <c r="AI21" i="39" s="1"/>
  <c r="AA41" i="26"/>
  <c r="AL38" i="39" s="1"/>
  <c r="AA29" i="26"/>
  <c r="AL26" i="39" s="1"/>
  <c r="AA17" i="26"/>
  <c r="AL14" i="39" s="1"/>
  <c r="G46" i="26"/>
  <c r="AH43" i="39" s="1"/>
  <c r="G34" i="26"/>
  <c r="AH31" i="39" s="1"/>
  <c r="AA40" i="26"/>
  <c r="AL37" i="39" s="1"/>
  <c r="AA28" i="26"/>
  <c r="AL25" i="39" s="1"/>
  <c r="AA16" i="26"/>
  <c r="AL13" i="39" s="1"/>
  <c r="L46" i="26"/>
  <c r="AI43" i="39" s="1"/>
  <c r="L34" i="26"/>
  <c r="AI31" i="39" s="1"/>
  <c r="L22" i="26"/>
  <c r="AI19" i="39" s="1"/>
  <c r="AA13" i="26"/>
  <c r="AL10" i="39" s="1"/>
  <c r="AA39" i="26"/>
  <c r="AL36" i="39" s="1"/>
  <c r="AA27" i="26"/>
  <c r="AL24" i="39" s="1"/>
  <c r="K46" i="39"/>
  <c r="K34" i="39"/>
  <c r="K22" i="39"/>
  <c r="H37" i="39"/>
  <c r="H25" i="39"/>
  <c r="H13" i="39"/>
  <c r="K18" i="39"/>
  <c r="G31" i="39"/>
  <c r="H46" i="39"/>
  <c r="H34" i="39"/>
  <c r="H22" i="39"/>
  <c r="J36" i="39"/>
  <c r="J24" i="39"/>
  <c r="J12" i="39"/>
  <c r="I33" i="39"/>
  <c r="K24" i="39"/>
  <c r="K12" i="39"/>
  <c r="H40" i="39"/>
  <c r="J42" i="39"/>
  <c r="J30" i="39"/>
  <c r="J18" i="39"/>
  <c r="J37" i="39"/>
  <c r="J25" i="39"/>
  <c r="J13" i="39"/>
  <c r="K45" i="39"/>
  <c r="K33" i="39"/>
  <c r="H36" i="39"/>
  <c r="H24" i="39"/>
  <c r="H12" i="39"/>
  <c r="H45" i="39"/>
  <c r="H33" i="39"/>
  <c r="H21" i="39"/>
  <c r="J47" i="39"/>
  <c r="J35" i="39"/>
  <c r="J23" i="39"/>
  <c r="J11" i="39"/>
  <c r="I32" i="39"/>
  <c r="H43" i="39"/>
  <c r="H31" i="39"/>
  <c r="H19" i="39"/>
  <c r="I47" i="39"/>
  <c r="I35" i="39"/>
  <c r="I23" i="39"/>
  <c r="I11" i="39"/>
  <c r="K39" i="39"/>
  <c r="K27" i="39"/>
  <c r="K15" i="39"/>
  <c r="I44" i="39"/>
  <c r="I46" i="39"/>
  <c r="I34" i="39"/>
  <c r="I22" i="39"/>
  <c r="I10" i="39"/>
  <c r="K38" i="39"/>
  <c r="K26" i="39"/>
  <c r="K14" i="39"/>
  <c r="H42" i="39"/>
  <c r="H30" i="39"/>
  <c r="H18" i="39"/>
  <c r="I45" i="39"/>
  <c r="H16" i="39"/>
  <c r="J46" i="39"/>
  <c r="J34" i="39"/>
  <c r="J22" i="39"/>
  <c r="I42" i="39"/>
  <c r="I30" i="39"/>
  <c r="I18" i="39"/>
  <c r="K36" i="39"/>
  <c r="K10" i="39"/>
  <c r="I26" i="39"/>
  <c r="I37" i="39"/>
  <c r="I25" i="39"/>
  <c r="K41" i="39"/>
  <c r="K29" i="39"/>
  <c r="K17" i="39"/>
  <c r="I21" i="39"/>
  <c r="I20" i="39"/>
  <c r="I38" i="39"/>
  <c r="I36" i="39"/>
  <c r="I24" i="39"/>
  <c r="I12" i="39"/>
  <c r="K40" i="39"/>
  <c r="K28" i="39"/>
  <c r="K16" i="39"/>
  <c r="H44" i="39"/>
  <c r="H32" i="39"/>
  <c r="H20" i="39"/>
  <c r="J38" i="39"/>
  <c r="J26" i="39"/>
  <c r="J14" i="39"/>
  <c r="K37" i="39"/>
  <c r="K25" i="39"/>
  <c r="K13" i="39"/>
  <c r="H28" i="39"/>
  <c r="H29" i="39"/>
  <c r="H17" i="39"/>
  <c r="J39" i="39"/>
  <c r="J27" i="39"/>
  <c r="J15" i="39"/>
  <c r="J21" i="39"/>
  <c r="I43" i="39"/>
  <c r="I19" i="39"/>
  <c r="I14" i="39"/>
  <c r="K44" i="39"/>
  <c r="K32" i="39"/>
  <c r="K20" i="39"/>
  <c r="J45" i="39"/>
  <c r="J33" i="39"/>
  <c r="I31" i="39"/>
  <c r="H10" i="39"/>
  <c r="I13" i="39"/>
  <c r="K43" i="39"/>
  <c r="K31" i="39"/>
  <c r="K19" i="39"/>
  <c r="H47" i="39"/>
  <c r="H35" i="39"/>
  <c r="H23" i="39"/>
  <c r="H11" i="39"/>
  <c r="I9" i="24"/>
  <c r="I7" i="24"/>
  <c r="I8" i="24"/>
  <c r="I11" i="24"/>
  <c r="K7" i="24"/>
  <c r="G35" i="26"/>
  <c r="AH32" i="39" s="1"/>
  <c r="G23" i="26"/>
  <c r="AH20" i="39" s="1"/>
  <c r="L47" i="26"/>
  <c r="AI44" i="39" s="1"/>
  <c r="L35" i="26"/>
  <c r="AI32" i="39" s="1"/>
  <c r="L23" i="26"/>
  <c r="AI20" i="39" s="1"/>
  <c r="AA50" i="26"/>
  <c r="AL47" i="39" s="1"/>
  <c r="AA38" i="26"/>
  <c r="AL35" i="39" s="1"/>
  <c r="AA26" i="26"/>
  <c r="AL23" i="39" s="1"/>
  <c r="G44" i="26"/>
  <c r="AH41" i="39" s="1"/>
  <c r="G32" i="26"/>
  <c r="AH29" i="39" s="1"/>
  <c r="G20" i="26"/>
  <c r="AH17" i="39" s="1"/>
  <c r="G43" i="26"/>
  <c r="AH40" i="39" s="1"/>
  <c r="G31" i="26"/>
  <c r="AH28" i="39" s="1"/>
  <c r="G19" i="26"/>
  <c r="AH16" i="39" s="1"/>
  <c r="G42" i="26"/>
  <c r="AH39" i="39" s="1"/>
  <c r="G30" i="26"/>
  <c r="AH27" i="39" s="1"/>
  <c r="G18" i="26"/>
  <c r="AH15" i="39" s="1"/>
  <c r="AA47" i="26"/>
  <c r="AL44" i="39" s="1"/>
  <c r="AA35" i="26"/>
  <c r="AL32" i="39" s="1"/>
  <c r="AA23" i="26"/>
  <c r="AL20" i="39" s="1"/>
  <c r="G49" i="26"/>
  <c r="AH46" i="39" s="1"/>
  <c r="G37" i="26"/>
  <c r="AH34" i="39" s="1"/>
  <c r="G25" i="26"/>
  <c r="AH22" i="39" s="1"/>
  <c r="L50" i="26"/>
  <c r="AI47" i="39" s="1"/>
  <c r="L38" i="26"/>
  <c r="AI35" i="39" s="1"/>
  <c r="L26" i="26"/>
  <c r="AI23" i="39" s="1"/>
  <c r="L14" i="26"/>
  <c r="AI11" i="39" s="1"/>
  <c r="L40" i="26"/>
  <c r="AI37" i="39" s="1"/>
  <c r="L28" i="26"/>
  <c r="AI25" i="39" s="1"/>
  <c r="L16" i="26"/>
  <c r="AI13" i="39" s="1"/>
  <c r="AA43" i="26"/>
  <c r="AL40" i="39" s="1"/>
  <c r="AA31" i="26"/>
  <c r="AL28" i="39" s="1"/>
  <c r="AA19" i="26"/>
  <c r="AL16" i="39" s="1"/>
  <c r="G13" i="26"/>
  <c r="AH10" i="39" s="1"/>
  <c r="G15" i="26"/>
  <c r="AH12" i="39" s="1"/>
  <c r="G36" i="26"/>
  <c r="AH33" i="39" s="1"/>
  <c r="G24" i="26"/>
  <c r="AH21" i="39" s="1"/>
  <c r="L49" i="26"/>
  <c r="AI46" i="39" s="1"/>
  <c r="L37" i="26"/>
  <c r="AI34" i="39" s="1"/>
  <c r="L25" i="26"/>
  <c r="AI22" i="39" s="1"/>
  <c r="L13" i="26"/>
  <c r="P9" i="31" s="1"/>
  <c r="L39" i="26"/>
  <c r="AI36" i="39" s="1"/>
  <c r="L27" i="26"/>
  <c r="AI24" i="39" s="1"/>
  <c r="L15" i="26"/>
  <c r="AI12" i="39" s="1"/>
  <c r="AA42" i="26"/>
  <c r="AL39" i="39" s="1"/>
  <c r="AA30" i="26"/>
  <c r="AL27" i="39" s="1"/>
  <c r="AA18" i="26"/>
  <c r="AL15" i="39" s="1"/>
  <c r="G45" i="26"/>
  <c r="AH42" i="39" s="1"/>
  <c r="G33" i="26"/>
  <c r="AH30" i="39" s="1"/>
  <c r="G21" i="26"/>
  <c r="AH18" i="39" s="1"/>
  <c r="G40" i="26"/>
  <c r="AH37" i="39" s="1"/>
  <c r="G28" i="26"/>
  <c r="AH25" i="39" s="1"/>
  <c r="G16" i="26"/>
  <c r="AH13" i="39" s="1"/>
  <c r="G39" i="26"/>
  <c r="AH36" i="39" s="1"/>
  <c r="G27" i="26"/>
  <c r="AH24" i="39" s="1"/>
  <c r="V38" i="26"/>
  <c r="AK35" i="39" s="1"/>
  <c r="V26" i="26"/>
  <c r="AK23" i="39" s="1"/>
  <c r="V14" i="26"/>
  <c r="AK11" i="39" s="1"/>
  <c r="V22" i="26"/>
  <c r="AK19" i="39" s="1"/>
  <c r="V35" i="26"/>
  <c r="AK32" i="39" s="1"/>
  <c r="V34" i="26"/>
  <c r="AK31" i="39" s="1"/>
  <c r="V23" i="26"/>
  <c r="AK20" i="39" s="1"/>
  <c r="V49" i="26"/>
  <c r="AK46" i="39" s="1"/>
  <c r="V47" i="26"/>
  <c r="AK44" i="39" s="1"/>
  <c r="V46" i="26"/>
  <c r="AK43" i="39" s="1"/>
  <c r="V48" i="26"/>
  <c r="AK45" i="39" s="1"/>
  <c r="V28" i="26"/>
  <c r="AK25" i="39" s="1"/>
  <c r="V40" i="26"/>
  <c r="AK37" i="39" s="1"/>
  <c r="V31" i="26"/>
  <c r="AK28" i="39" s="1"/>
  <c r="V20" i="26"/>
  <c r="AK17" i="39" s="1"/>
  <c r="V43" i="26"/>
  <c r="AK40" i="39" s="1"/>
  <c r="V42" i="26"/>
  <c r="AK39" i="39" s="1"/>
  <c r="V41" i="26"/>
  <c r="AK38" i="39" s="1"/>
  <c r="V29" i="26"/>
  <c r="AK26" i="39" s="1"/>
  <c r="V44" i="26"/>
  <c r="AK41" i="39" s="1"/>
  <c r="V30" i="26"/>
  <c r="AK27" i="39" s="1"/>
  <c r="V45" i="26"/>
  <c r="AK42" i="39" s="1"/>
  <c r="V33" i="26"/>
  <c r="AK30" i="39" s="1"/>
  <c r="V21" i="26"/>
  <c r="AK18" i="39" s="1"/>
  <c r="V19" i="26"/>
  <c r="AK16" i="39" s="1"/>
  <c r="V17" i="26"/>
  <c r="AK14" i="39" s="1"/>
  <c r="V39" i="26"/>
  <c r="AK36" i="39" s="1"/>
  <c r="V27" i="26"/>
  <c r="AK24" i="39" s="1"/>
  <c r="V37" i="26"/>
  <c r="AK34" i="39" s="1"/>
  <c r="V25" i="26"/>
  <c r="AK22" i="39" s="1"/>
  <c r="V36" i="26"/>
  <c r="AK33" i="39" s="1"/>
  <c r="V24" i="26"/>
  <c r="AK21" i="39" s="1"/>
  <c r="V18" i="26"/>
  <c r="AK15" i="39" s="1"/>
  <c r="V16" i="26"/>
  <c r="AK13" i="39" s="1"/>
  <c r="V15" i="26"/>
  <c r="AK12" i="39" s="1"/>
  <c r="G19" i="39"/>
  <c r="G24" i="39"/>
  <c r="G12" i="39"/>
  <c r="G47" i="39"/>
  <c r="G35" i="39"/>
  <c r="G23" i="39"/>
  <c r="G11" i="39"/>
  <c r="I41" i="39"/>
  <c r="I29" i="39"/>
  <c r="I17" i="39"/>
  <c r="I40" i="39"/>
  <c r="I28" i="39"/>
  <c r="I16" i="39"/>
  <c r="I39" i="39"/>
  <c r="I27" i="39"/>
  <c r="I15" i="39"/>
  <c r="G25" i="39"/>
  <c r="G26" i="39"/>
  <c r="G32" i="39"/>
  <c r="G20" i="39"/>
  <c r="G38" i="39"/>
  <c r="G14" i="39"/>
  <c r="G30" i="39"/>
  <c r="G41" i="39"/>
  <c r="G29" i="39"/>
  <c r="G42" i="39"/>
  <c r="G37" i="39"/>
  <c r="G13" i="39"/>
  <c r="G10" i="39"/>
  <c r="G36" i="39"/>
  <c r="G18" i="39"/>
  <c r="G17" i="39"/>
  <c r="G45" i="39"/>
  <c r="G44" i="39"/>
  <c r="G43" i="39"/>
  <c r="G46" i="39"/>
  <c r="G34" i="39"/>
  <c r="G22" i="39"/>
  <c r="G33" i="39"/>
  <c r="G21" i="39"/>
  <c r="G40" i="39"/>
  <c r="G16" i="39"/>
  <c r="G15" i="39"/>
  <c r="G28" i="39"/>
  <c r="G39" i="39"/>
  <c r="G27" i="39"/>
  <c r="AF23" i="17"/>
  <c r="AH23" i="17" s="1"/>
  <c r="B9" i="19"/>
  <c r="B8" i="19"/>
  <c r="AF24" i="17"/>
  <c r="AH24" i="17" s="1"/>
  <c r="AF25" i="17"/>
  <c r="AH25" i="17" s="1"/>
  <c r="AF26" i="17"/>
  <c r="AH26" i="17" s="1"/>
  <c r="AF27" i="17"/>
  <c r="AG27" i="17" s="1"/>
  <c r="AF16" i="17"/>
  <c r="AH16" i="17" s="1"/>
  <c r="AF17" i="17"/>
  <c r="AH17" i="17" s="1"/>
  <c r="AF18" i="17"/>
  <c r="AG18" i="17" s="1"/>
  <c r="AF19" i="17"/>
  <c r="AH19" i="17" s="1"/>
  <c r="AF15" i="17"/>
  <c r="AH15" i="17" s="1"/>
  <c r="O16" i="17"/>
  <c r="BC8" i="17"/>
  <c r="BC7" i="17"/>
  <c r="BC6" i="17"/>
  <c r="AV36" i="17"/>
  <c r="AV35" i="17"/>
  <c r="AV33" i="17"/>
  <c r="AV32" i="17"/>
  <c r="AV31" i="17"/>
  <c r="AV30" i="17"/>
  <c r="AV29" i="17"/>
  <c r="AV27" i="17"/>
  <c r="AV26" i="17"/>
  <c r="AV25" i="17"/>
  <c r="AV24" i="17"/>
  <c r="AV23" i="17"/>
  <c r="AV22" i="17"/>
  <c r="AV21" i="17"/>
  <c r="AV20" i="17"/>
  <c r="AV18" i="17"/>
  <c r="AV17" i="17"/>
  <c r="AV16" i="17"/>
  <c r="AV15" i="17"/>
  <c r="AV14" i="17"/>
  <c r="O18" i="17"/>
  <c r="O17" i="17"/>
  <c r="O20" i="17"/>
  <c r="P20" i="17" s="1"/>
  <c r="O19" i="17"/>
  <c r="Q19" i="17" s="1"/>
  <c r="AO10" i="17"/>
  <c r="AO9" i="17"/>
  <c r="AO8" i="17"/>
  <c r="AO7" i="17"/>
  <c r="AE7" i="17"/>
  <c r="AO6" i="17"/>
  <c r="AI10" i="39" l="1"/>
  <c r="V13" i="26"/>
  <c r="AH11" i="39"/>
  <c r="P13" i="31"/>
  <c r="P22" i="31"/>
  <c r="P15" i="31"/>
  <c r="P12" i="31"/>
  <c r="P21" i="31"/>
  <c r="P24" i="31"/>
  <c r="P11" i="31"/>
  <c r="P17" i="31"/>
  <c r="P20" i="31"/>
  <c r="AV37" i="17"/>
  <c r="BE7" i="17"/>
  <c r="BF7" i="17" s="1"/>
  <c r="BG7" i="17" s="1"/>
  <c r="BE8" i="17"/>
  <c r="BF8" i="17" s="1"/>
  <c r="BG8" i="17" s="1"/>
  <c r="BE6" i="17"/>
  <c r="BF6" i="17" s="1"/>
  <c r="BG6" i="17" s="1"/>
  <c r="AI7" i="17"/>
  <c r="AN7" i="17"/>
  <c r="E22" i="31" s="1"/>
  <c r="AG23" i="17"/>
  <c r="AG26" i="17"/>
  <c r="AG25" i="17"/>
  <c r="AG24" i="17"/>
  <c r="AH27" i="17"/>
  <c r="AH18" i="17"/>
  <c r="AG15" i="17"/>
  <c r="AG19" i="17"/>
  <c r="AG17" i="17"/>
  <c r="AG16" i="17"/>
  <c r="Q20" i="17"/>
  <c r="P19" i="17"/>
  <c r="D37" i="16" l="1"/>
  <c r="AK10" i="39"/>
  <c r="P14" i="31"/>
  <c r="R14" i="31" s="1"/>
  <c r="P19" i="31"/>
  <c r="R19" i="31" s="1"/>
  <c r="P10" i="31"/>
  <c r="R10" i="31" s="1"/>
  <c r="P23" i="31"/>
  <c r="R23" i="31" s="1"/>
  <c r="G18" i="31"/>
  <c r="G13" i="31"/>
  <c r="G22" i="31"/>
  <c r="D26" i="16"/>
  <c r="E13" i="31"/>
  <c r="G9" i="31"/>
  <c r="E9" i="31"/>
  <c r="D20" i="16"/>
  <c r="E18" i="31"/>
  <c r="R7" i="17"/>
  <c r="S7" i="17"/>
  <c r="T7" i="17"/>
  <c r="R8" i="17"/>
  <c r="S8" i="17"/>
  <c r="T8" i="17"/>
  <c r="M9" i="17"/>
  <c r="N7" i="17" s="1"/>
  <c r="E26" i="31" l="1"/>
  <c r="G26" i="31"/>
  <c r="U18" i="31" s="1"/>
  <c r="U5" i="31"/>
  <c r="P9" i="39" s="1"/>
  <c r="R9" i="31"/>
  <c r="R9" i="17"/>
  <c r="R22" i="31"/>
  <c r="R18" i="31"/>
  <c r="R13" i="31"/>
  <c r="N8" i="17"/>
  <c r="P10" i="39" l="1"/>
  <c r="Z9" i="39"/>
  <c r="N9" i="17"/>
  <c r="S9" i="17"/>
  <c r="Q9" i="17"/>
  <c r="P9" i="17"/>
  <c r="T9" i="17"/>
  <c r="O9" i="17"/>
  <c r="BL10" i="39" l="1"/>
  <c r="CT10" i="39"/>
  <c r="I18" i="40" l="1"/>
  <c r="J18" i="40" l="1"/>
  <c r="M18" i="40" s="1"/>
  <c r="M23" i="40" l="1"/>
  <c r="D23" i="40" s="1"/>
  <c r="F38" i="40"/>
  <c r="D38" i="40" s="1"/>
  <c r="E38" i="39"/>
  <c r="E10" i="39"/>
  <c r="E15" i="39"/>
  <c r="E46" i="39"/>
  <c r="E27" i="39"/>
  <c r="E25" i="39"/>
  <c r="E16" i="39"/>
  <c r="E43" i="39"/>
  <c r="E40" i="39"/>
  <c r="E17" i="39"/>
  <c r="E29" i="39"/>
  <c r="E34" i="39"/>
  <c r="E23" i="39"/>
  <c r="E35" i="39"/>
  <c r="E47" i="39"/>
  <c r="E12" i="39"/>
  <c r="E19" i="39"/>
  <c r="E28" i="39"/>
  <c r="E20" i="39"/>
  <c r="E44" i="39"/>
  <c r="E11" i="39"/>
  <c r="E24" i="39"/>
  <c r="E18" i="39"/>
  <c r="E32" i="39"/>
  <c r="E39" i="39"/>
  <c r="E36" i="39"/>
  <c r="E48" i="39"/>
  <c r="E37" i="39"/>
  <c r="E45" i="39"/>
  <c r="E33" i="39"/>
  <c r="E26" i="39"/>
  <c r="E22" i="39"/>
  <c r="E13" i="39"/>
  <c r="E41" i="39"/>
  <c r="E42" i="39"/>
  <c r="E31" i="39"/>
  <c r="E14" i="39"/>
  <c r="E21" i="39"/>
  <c r="E30" i="39"/>
  <c r="D16" i="40" l="1"/>
  <c r="I37" i="40"/>
  <c r="J37" i="40" s="1"/>
  <c r="D18" i="40"/>
  <c r="M37" i="40" l="1"/>
  <c r="M17" i="40"/>
  <c r="D17" i="40" s="1"/>
  <c r="R8" i="31"/>
  <c r="I20" i="31" l="1"/>
  <c r="I10" i="31"/>
  <c r="I18" i="31"/>
  <c r="I11" i="31"/>
  <c r="I9" i="31"/>
  <c r="I19" i="31"/>
  <c r="I17" i="31"/>
  <c r="D77" i="16"/>
  <c r="I8" i="31"/>
  <c r="E7" i="31" l="1"/>
  <c r="G7" i="31"/>
  <c r="AD6" i="17"/>
  <c r="AE6" i="17" s="1"/>
  <c r="AI6" i="17" l="1"/>
  <c r="AN6" i="17"/>
  <c r="G15" i="31" l="1"/>
  <c r="E21" i="31"/>
  <c r="E12" i="31"/>
  <c r="D25" i="16"/>
  <c r="G24" i="31"/>
  <c r="G12" i="31"/>
  <c r="E15" i="31"/>
  <c r="E24" i="31"/>
  <c r="G21" i="31"/>
  <c r="G11" i="31"/>
  <c r="E20" i="31"/>
  <c r="E11" i="31"/>
  <c r="E17" i="31"/>
  <c r="G17" i="31"/>
  <c r="G20" i="31"/>
  <c r="E8" i="31"/>
  <c r="D19" i="16"/>
  <c r="R11" i="31" l="1"/>
  <c r="U7" i="31"/>
  <c r="R12" i="31"/>
  <c r="R21" i="31"/>
  <c r="R24" i="31"/>
  <c r="R20" i="31"/>
  <c r="R17" i="31"/>
  <c r="E28" i="31"/>
  <c r="G28" i="31"/>
  <c r="U20" i="31" s="1"/>
  <c r="R15" i="31"/>
  <c r="AC9" i="39" l="1"/>
  <c r="S9" i="39"/>
  <c r="E6" i="31"/>
  <c r="E4" i="31"/>
  <c r="G6" i="31"/>
  <c r="U6" i="31" s="1"/>
  <c r="R9" i="39" s="1"/>
  <c r="G4" i="31"/>
  <c r="U4" i="31" s="1"/>
  <c r="D38" i="16"/>
  <c r="G25" i="31" s="1"/>
  <c r="U17" i="31" s="1"/>
  <c r="R10" i="39" l="1"/>
  <c r="CV10" i="39" s="1"/>
  <c r="AB9" i="39"/>
  <c r="X9" i="39"/>
  <c r="N9" i="39"/>
  <c r="E27" i="31"/>
  <c r="E25" i="31"/>
  <c r="G27" i="31"/>
  <c r="N10" i="39" l="1"/>
  <c r="N11" i="39" s="1"/>
  <c r="Q12" i="39" s="1"/>
  <c r="O10" i="39"/>
  <c r="P11" i="39" s="1"/>
  <c r="AE9" i="39"/>
  <c r="BN10" i="39"/>
  <c r="T9" i="39"/>
  <c r="U9" i="39"/>
  <c r="S10" i="39"/>
  <c r="BO10" i="39" s="1"/>
  <c r="Q10" i="39"/>
  <c r="BM10" i="39" s="1"/>
  <c r="AD9" i="39"/>
  <c r="U19" i="31"/>
  <c r="O11" i="39" l="1"/>
  <c r="BK11" i="39" s="1"/>
  <c r="Q11" i="39"/>
  <c r="BM11" i="39" s="1"/>
  <c r="CR10" i="39"/>
  <c r="N12" i="39"/>
  <c r="Q13" i="39" s="1"/>
  <c r="O12" i="39"/>
  <c r="BK12" i="39" s="1"/>
  <c r="X10" i="39"/>
  <c r="DA10" i="39" s="1"/>
  <c r="BJ11" i="39"/>
  <c r="BJ10" i="39"/>
  <c r="CR11" i="39"/>
  <c r="BL11" i="39"/>
  <c r="CT11" i="39"/>
  <c r="R11" i="39"/>
  <c r="AB10" i="39" s="1"/>
  <c r="CU10" i="39"/>
  <c r="CU12" i="39"/>
  <c r="BM12" i="39"/>
  <c r="BK10" i="39"/>
  <c r="CS10" i="39"/>
  <c r="S11" i="39"/>
  <c r="AC10" i="39" s="1"/>
  <c r="BW10" i="39" s="1"/>
  <c r="T10" i="39"/>
  <c r="U10" i="39"/>
  <c r="Z10" i="39"/>
  <c r="U21" i="31"/>
  <c r="AA11" i="39" l="1"/>
  <c r="DD11" i="39" s="1"/>
  <c r="W19" i="31"/>
  <c r="AT9" i="39" s="1"/>
  <c r="U24" i="31"/>
  <c r="BJ12" i="39"/>
  <c r="X11" i="39"/>
  <c r="BR11" i="39" s="1"/>
  <c r="AA10" i="39"/>
  <c r="BU10" i="39" s="1"/>
  <c r="CU11" i="39"/>
  <c r="U11" i="39"/>
  <c r="R12" i="39"/>
  <c r="R13" i="39" s="1"/>
  <c r="CR12" i="39"/>
  <c r="N13" i="39"/>
  <c r="N14" i="39" s="1"/>
  <c r="N15" i="39" s="1"/>
  <c r="CS12" i="39"/>
  <c r="BU11" i="39"/>
  <c r="P12" i="39"/>
  <c r="Z11" i="39" s="1"/>
  <c r="Y10" i="39"/>
  <c r="BS10" i="39" s="1"/>
  <c r="Y11" i="39"/>
  <c r="BS11" i="39" s="1"/>
  <c r="CS11" i="39"/>
  <c r="CX10" i="39"/>
  <c r="O13" i="39"/>
  <c r="Y12" i="39" s="1"/>
  <c r="BR10" i="39"/>
  <c r="BP10" i="39"/>
  <c r="BN11" i="39"/>
  <c r="CV11" i="39"/>
  <c r="AA12" i="39"/>
  <c r="CU13" i="39"/>
  <c r="BM13" i="39"/>
  <c r="T11" i="39"/>
  <c r="S12" i="39"/>
  <c r="AC11" i="39" s="1"/>
  <c r="BO11" i="39"/>
  <c r="BT10" i="39"/>
  <c r="DC10" i="39"/>
  <c r="DE10" i="39"/>
  <c r="BV10" i="39"/>
  <c r="W20" i="31"/>
  <c r="W18" i="31"/>
  <c r="AR9" i="39" s="1"/>
  <c r="W17" i="31"/>
  <c r="AY9" i="39" s="1"/>
  <c r="CV12" i="39" l="1"/>
  <c r="DA11" i="39"/>
  <c r="DD10" i="39"/>
  <c r="BC9" i="39"/>
  <c r="BN12" i="39"/>
  <c r="AB11" i="39"/>
  <c r="AE11" i="39" s="1"/>
  <c r="X12" i="39"/>
  <c r="BR12" i="39" s="1"/>
  <c r="O14" i="39"/>
  <c r="Y13" i="39" s="1"/>
  <c r="Q14" i="39"/>
  <c r="CU14" i="39" s="1"/>
  <c r="U12" i="39"/>
  <c r="BJ13" i="39"/>
  <c r="CR13" i="39"/>
  <c r="P13" i="39"/>
  <c r="U13" i="39" s="1"/>
  <c r="CX11" i="39"/>
  <c r="DB10" i="39"/>
  <c r="DG10" i="39" s="1"/>
  <c r="AD10" i="39"/>
  <c r="AE10" i="39"/>
  <c r="CT12" i="39"/>
  <c r="CX12" i="39" s="1"/>
  <c r="BL12" i="39"/>
  <c r="DB11" i="39"/>
  <c r="CS13" i="39"/>
  <c r="BK13" i="39"/>
  <c r="BP11" i="39"/>
  <c r="BO12" i="39"/>
  <c r="X14" i="39"/>
  <c r="CR15" i="39"/>
  <c r="BJ15" i="39"/>
  <c r="BU12" i="39"/>
  <c r="DD12" i="39"/>
  <c r="DA12" i="39"/>
  <c r="DB12" i="39"/>
  <c r="BS12" i="39"/>
  <c r="O15" i="39"/>
  <c r="CR14" i="39"/>
  <c r="BJ14" i="39"/>
  <c r="BT11" i="39"/>
  <c r="DC11" i="39"/>
  <c r="BN13" i="39"/>
  <c r="CV13" i="39"/>
  <c r="AD11" i="39"/>
  <c r="BW11" i="39"/>
  <c r="Q15" i="39"/>
  <c r="T12" i="39"/>
  <c r="S13" i="39"/>
  <c r="AC12" i="39" s="1"/>
  <c r="BW12" i="39" s="1"/>
  <c r="X13" i="39"/>
  <c r="BX10" i="39"/>
  <c r="AT10" i="39"/>
  <c r="R14" i="39"/>
  <c r="W21" i="31"/>
  <c r="AP9" i="39"/>
  <c r="BA9" i="39"/>
  <c r="AB12" i="39"/>
  <c r="BD9" i="39"/>
  <c r="AU9" i="39"/>
  <c r="O16" i="39"/>
  <c r="N16" i="39"/>
  <c r="Q16" i="39"/>
  <c r="BV11" i="39" l="1"/>
  <c r="BX11" i="39" s="1"/>
  <c r="DE11" i="39"/>
  <c r="DG11" i="39" s="1"/>
  <c r="CS14" i="39"/>
  <c r="BK14" i="39"/>
  <c r="Y14" i="39"/>
  <c r="DB14" i="39" s="1"/>
  <c r="P14" i="39"/>
  <c r="CT14" i="39" s="1"/>
  <c r="Z12" i="39"/>
  <c r="DC12" i="39" s="1"/>
  <c r="AA13" i="39"/>
  <c r="DD13" i="39" s="1"/>
  <c r="CT13" i="39"/>
  <c r="CX13" i="39" s="1"/>
  <c r="BL13" i="39"/>
  <c r="BM14" i="39"/>
  <c r="BP12" i="39"/>
  <c r="DB13" i="39"/>
  <c r="BS13" i="39"/>
  <c r="BN14" i="39"/>
  <c r="CV14" i="39"/>
  <c r="AA15" i="39"/>
  <c r="BM16" i="39"/>
  <c r="CU16" i="39"/>
  <c r="Y15" i="39"/>
  <c r="CS16" i="39"/>
  <c r="BK16" i="39"/>
  <c r="DE12" i="39"/>
  <c r="BV12" i="39"/>
  <c r="BR13" i="39"/>
  <c r="DA13" i="39"/>
  <c r="AA14" i="39"/>
  <c r="BM15" i="39"/>
  <c r="CU15" i="39"/>
  <c r="CS15" i="39"/>
  <c r="BK15" i="39"/>
  <c r="X15" i="39"/>
  <c r="BJ16" i="39"/>
  <c r="CR16" i="39"/>
  <c r="BR14" i="39"/>
  <c r="DA14" i="39"/>
  <c r="S14" i="39"/>
  <c r="AC13" i="39" s="1"/>
  <c r="BW13" i="39" s="1"/>
  <c r="BO13" i="39"/>
  <c r="T13" i="39"/>
  <c r="AU10" i="39"/>
  <c r="Q17" i="39"/>
  <c r="N17" i="39"/>
  <c r="O17" i="39"/>
  <c r="BF9" i="39"/>
  <c r="BE9" i="39"/>
  <c r="AV9" i="39"/>
  <c r="AW9" i="39"/>
  <c r="AS10" i="39"/>
  <c r="AP10" i="39"/>
  <c r="AQ10" i="39"/>
  <c r="R15" i="39"/>
  <c r="CE10" i="39"/>
  <c r="DN10" i="39"/>
  <c r="AB13" i="39"/>
  <c r="AR10" i="39"/>
  <c r="P15" i="39" l="1"/>
  <c r="CT15" i="39" s="1"/>
  <c r="BL14" i="39"/>
  <c r="AE12" i="39"/>
  <c r="AD12" i="39"/>
  <c r="BT12" i="39"/>
  <c r="BU13" i="39"/>
  <c r="BP13" i="39"/>
  <c r="BS14" i="39"/>
  <c r="U14" i="39"/>
  <c r="Z13" i="39"/>
  <c r="DC13" i="39" s="1"/>
  <c r="BX12" i="39"/>
  <c r="DG12" i="39"/>
  <c r="BS15" i="39"/>
  <c r="DB15" i="39"/>
  <c r="BU14" i="39"/>
  <c r="DD14" i="39"/>
  <c r="DE13" i="39"/>
  <c r="BV13" i="39"/>
  <c r="Y16" i="39"/>
  <c r="CS17" i="39"/>
  <c r="BK17" i="39"/>
  <c r="X16" i="39"/>
  <c r="BJ17" i="39"/>
  <c r="CR17" i="39"/>
  <c r="DA15" i="39"/>
  <c r="BR15" i="39"/>
  <c r="DD15" i="39"/>
  <c r="BU15" i="39"/>
  <c r="BL15" i="39"/>
  <c r="AA16" i="39"/>
  <c r="CU17" i="39"/>
  <c r="BM17" i="39"/>
  <c r="AB14" i="39"/>
  <c r="CV15" i="39"/>
  <c r="BN15" i="39"/>
  <c r="T14" i="39"/>
  <c r="S15" i="39"/>
  <c r="AC14" i="39" s="1"/>
  <c r="BW14" i="39" s="1"/>
  <c r="BO14" i="39"/>
  <c r="BP14" i="39" s="1"/>
  <c r="U15" i="39"/>
  <c r="P16" i="39"/>
  <c r="DO10" i="39"/>
  <c r="AU11" i="39"/>
  <c r="CF10" i="39"/>
  <c r="CX14" i="39"/>
  <c r="CB10" i="39"/>
  <c r="DK10" i="39"/>
  <c r="AR11" i="39"/>
  <c r="O18" i="39"/>
  <c r="N18" i="39"/>
  <c r="Q18" i="39"/>
  <c r="CC10" i="39"/>
  <c r="DL10" i="39"/>
  <c r="Z14" i="39"/>
  <c r="AW10" i="39"/>
  <c r="CA10" i="39"/>
  <c r="DJ10" i="39"/>
  <c r="AS11" i="39"/>
  <c r="AP11" i="39"/>
  <c r="AQ11" i="39"/>
  <c r="AV10" i="39"/>
  <c r="R16" i="39"/>
  <c r="AT11" i="39"/>
  <c r="CD10" i="39"/>
  <c r="DM10" i="39"/>
  <c r="AD13" i="39" l="1"/>
  <c r="BT13" i="39"/>
  <c r="BX13" i="39" s="1"/>
  <c r="AE13" i="39"/>
  <c r="T15" i="39"/>
  <c r="CE11" i="39"/>
  <c r="DN11" i="39"/>
  <c r="CB11" i="39"/>
  <c r="DK11" i="39"/>
  <c r="BB10" i="39"/>
  <c r="CM10" i="39" s="1"/>
  <c r="DM11" i="39"/>
  <c r="CD11" i="39"/>
  <c r="BA10" i="39"/>
  <c r="CL10" i="39" s="1"/>
  <c r="DL11" i="39"/>
  <c r="CC11" i="39"/>
  <c r="CA11" i="39"/>
  <c r="DJ11" i="39"/>
  <c r="DE14" i="39"/>
  <c r="BV14" i="39"/>
  <c r="DA16" i="39"/>
  <c r="BR16" i="39"/>
  <c r="AD14" i="39"/>
  <c r="BT14" i="39"/>
  <c r="DC14" i="39"/>
  <c r="BN16" i="39"/>
  <c r="CV16" i="39"/>
  <c r="DD16" i="39"/>
  <c r="BU16" i="39"/>
  <c r="BS16" i="39"/>
  <c r="DB16" i="39"/>
  <c r="BL16" i="39"/>
  <c r="CT16" i="39"/>
  <c r="BM18" i="39"/>
  <c r="CU18" i="39"/>
  <c r="X17" i="39"/>
  <c r="BJ18" i="39"/>
  <c r="CR18" i="39"/>
  <c r="CS18" i="39"/>
  <c r="BK18" i="39"/>
  <c r="S16" i="39"/>
  <c r="AC15" i="39" s="1"/>
  <c r="BW15" i="39" s="1"/>
  <c r="BO15" i="39"/>
  <c r="BP15" i="39" s="1"/>
  <c r="DG13" i="39"/>
  <c r="CG10" i="39"/>
  <c r="R17" i="39"/>
  <c r="DO11" i="39"/>
  <c r="CF11" i="39"/>
  <c r="AU12" i="39"/>
  <c r="BD10" i="39"/>
  <c r="BC10" i="39"/>
  <c r="AB15" i="39"/>
  <c r="N19" i="39"/>
  <c r="O19" i="39"/>
  <c r="Q19" i="39"/>
  <c r="U16" i="39"/>
  <c r="P17" i="39"/>
  <c r="AR12" i="39"/>
  <c r="AE14" i="39"/>
  <c r="AW11" i="39"/>
  <c r="AV11" i="39"/>
  <c r="AS12" i="39"/>
  <c r="AP12" i="39"/>
  <c r="DJ12" i="39" s="1"/>
  <c r="AQ12" i="39"/>
  <c r="DK12" i="39" s="1"/>
  <c r="AA17" i="39"/>
  <c r="AY10" i="39"/>
  <c r="Y17" i="39"/>
  <c r="CX15" i="39"/>
  <c r="AT12" i="39"/>
  <c r="DP10" i="39"/>
  <c r="AZ10" i="39"/>
  <c r="Z15" i="39"/>
  <c r="BX14" i="39" l="1"/>
  <c r="DV10" i="39"/>
  <c r="DU10" i="39"/>
  <c r="CD12" i="39"/>
  <c r="DM12" i="39"/>
  <c r="BC11" i="39"/>
  <c r="CE12" i="39"/>
  <c r="DN12" i="39"/>
  <c r="CC12" i="39"/>
  <c r="DL12" i="39"/>
  <c r="DG14" i="39"/>
  <c r="DB17" i="39"/>
  <c r="BS17" i="39"/>
  <c r="DD17" i="39"/>
  <c r="BU17" i="39"/>
  <c r="AZ11" i="39"/>
  <c r="CB12" i="39"/>
  <c r="AY11" i="39"/>
  <c r="CA12" i="39"/>
  <c r="T16" i="39"/>
  <c r="AA18" i="39"/>
  <c r="BM19" i="39"/>
  <c r="CU19" i="39"/>
  <c r="BR17" i="39"/>
  <c r="DA17" i="39"/>
  <c r="Y18" i="39"/>
  <c r="CS19" i="39"/>
  <c r="BK19" i="39"/>
  <c r="X18" i="39"/>
  <c r="CR19" i="39"/>
  <c r="BJ19" i="39"/>
  <c r="AB16" i="39"/>
  <c r="BN17" i="39"/>
  <c r="CV17" i="39"/>
  <c r="BV15" i="39"/>
  <c r="DE15" i="39"/>
  <c r="BO16" i="39"/>
  <c r="BP16" i="39" s="1"/>
  <c r="BT15" i="39"/>
  <c r="DC15" i="39"/>
  <c r="BL17" i="39"/>
  <c r="CT17" i="39"/>
  <c r="S17" i="39"/>
  <c r="BO17" i="39" s="1"/>
  <c r="CX16" i="39"/>
  <c r="CG11" i="39"/>
  <c r="CK10" i="39"/>
  <c r="DT10" i="39"/>
  <c r="AP13" i="39"/>
  <c r="AW12" i="39"/>
  <c r="AS13" i="39"/>
  <c r="DM13" i="39" s="1"/>
  <c r="AV12" i="39"/>
  <c r="AQ13" i="39"/>
  <c r="AR13" i="39"/>
  <c r="DL13" i="39" s="1"/>
  <c r="Q20" i="39"/>
  <c r="N20" i="39"/>
  <c r="O20" i="39"/>
  <c r="AE15" i="39"/>
  <c r="CN10" i="39"/>
  <c r="DW10" i="39"/>
  <c r="P18" i="39"/>
  <c r="U17" i="39"/>
  <c r="AT13" i="39"/>
  <c r="DN13" i="39" s="1"/>
  <c r="CJ10" i="39"/>
  <c r="DS10" i="39"/>
  <c r="BE10" i="39"/>
  <c r="BF10" i="39"/>
  <c r="R18" i="39"/>
  <c r="BA11" i="39"/>
  <c r="DP11" i="39"/>
  <c r="BB11" i="39"/>
  <c r="Z16" i="39"/>
  <c r="CO10" i="39"/>
  <c r="DX10" i="39"/>
  <c r="AD15" i="39"/>
  <c r="AU13" i="39"/>
  <c r="CF12" i="39"/>
  <c r="DO12" i="39"/>
  <c r="BD11" i="39"/>
  <c r="CL11" i="39" l="1"/>
  <c r="DU11" i="39"/>
  <c r="CJ11" i="39"/>
  <c r="DS11" i="39"/>
  <c r="DW11" i="39"/>
  <c r="CN11" i="39"/>
  <c r="CM11" i="39"/>
  <c r="DV11" i="39"/>
  <c r="CB13" i="39"/>
  <c r="DK13" i="39"/>
  <c r="CA13" i="39"/>
  <c r="DJ13" i="39"/>
  <c r="CK11" i="39"/>
  <c r="DT11" i="39"/>
  <c r="T17" i="39"/>
  <c r="BT16" i="39"/>
  <c r="DC16" i="39"/>
  <c r="CR20" i="39"/>
  <c r="BJ20" i="39"/>
  <c r="AA19" i="39"/>
  <c r="CU20" i="39"/>
  <c r="BM20" i="39"/>
  <c r="BA12" i="39"/>
  <c r="CC13" i="39"/>
  <c r="DD18" i="39"/>
  <c r="BU18" i="39"/>
  <c r="CT18" i="39"/>
  <c r="BL18" i="39"/>
  <c r="BV16" i="39"/>
  <c r="DE16" i="39"/>
  <c r="BN18" i="39"/>
  <c r="CV18" i="39"/>
  <c r="DA18" i="39"/>
  <c r="BR18" i="39"/>
  <c r="AC16" i="39"/>
  <c r="BW16" i="39" s="1"/>
  <c r="BB12" i="39"/>
  <c r="CD13" i="39"/>
  <c r="S18" i="39"/>
  <c r="T18" i="39" s="1"/>
  <c r="DB18" i="39"/>
  <c r="BS18" i="39"/>
  <c r="BC12" i="39"/>
  <c r="CE13" i="39"/>
  <c r="Y19" i="39"/>
  <c r="CS20" i="39"/>
  <c r="BK20" i="39"/>
  <c r="CX17" i="39"/>
  <c r="DY10" i="39"/>
  <c r="CP10" i="39"/>
  <c r="BF11" i="39"/>
  <c r="BE11" i="39"/>
  <c r="DP12" i="39"/>
  <c r="U18" i="39"/>
  <c r="P19" i="39"/>
  <c r="Z17" i="39"/>
  <c r="BX15" i="39"/>
  <c r="AR14" i="39"/>
  <c r="DL14" i="39" s="1"/>
  <c r="R19" i="39"/>
  <c r="DG15" i="39"/>
  <c r="AZ12" i="39"/>
  <c r="AB17" i="39"/>
  <c r="AT14" i="39"/>
  <c r="DN14" i="39" s="1"/>
  <c r="O21" i="39"/>
  <c r="Q21" i="39"/>
  <c r="N21" i="39"/>
  <c r="AQ14" i="39"/>
  <c r="DK14" i="39" s="1"/>
  <c r="AW13" i="39"/>
  <c r="AV13" i="39"/>
  <c r="AP14" i="39"/>
  <c r="DJ14" i="39" s="1"/>
  <c r="AS14" i="39"/>
  <c r="DM14" i="39" s="1"/>
  <c r="CF13" i="39"/>
  <c r="DO13" i="39"/>
  <c r="AU14" i="39"/>
  <c r="BD13" i="39" s="1"/>
  <c r="DX11" i="39"/>
  <c r="CO11" i="39"/>
  <c r="BP17" i="39"/>
  <c r="AE16" i="39"/>
  <c r="AY12" i="39"/>
  <c r="BD12" i="39"/>
  <c r="X19" i="39"/>
  <c r="CG12" i="39"/>
  <c r="DG16" i="39" l="1"/>
  <c r="CJ12" i="39"/>
  <c r="DS12" i="39"/>
  <c r="CM12" i="39"/>
  <c r="DV12" i="39"/>
  <c r="CL12" i="39"/>
  <c r="DU12" i="39"/>
  <c r="CK12" i="39"/>
  <c r="DT12" i="39"/>
  <c r="AD16" i="39"/>
  <c r="CN12" i="39"/>
  <c r="DW12" i="39"/>
  <c r="S19" i="39"/>
  <c r="S20" i="39" s="1"/>
  <c r="AC19" i="39" s="1"/>
  <c r="AC17" i="39"/>
  <c r="BW17" i="39" s="1"/>
  <c r="BO18" i="39"/>
  <c r="BP18" i="39" s="1"/>
  <c r="BR19" i="39"/>
  <c r="DA19" i="39"/>
  <c r="AB18" i="39"/>
  <c r="BN19" i="39"/>
  <c r="CV19" i="39"/>
  <c r="X20" i="39"/>
  <c r="CR21" i="39"/>
  <c r="BJ21" i="39"/>
  <c r="BA13" i="39"/>
  <c r="CC14" i="39"/>
  <c r="CU21" i="39"/>
  <c r="BM21" i="39"/>
  <c r="BB13" i="39"/>
  <c r="CD14" i="39"/>
  <c r="Y20" i="39"/>
  <c r="CS21" i="39"/>
  <c r="BK21" i="39"/>
  <c r="AY13" i="39"/>
  <c r="CA14" i="39"/>
  <c r="BC13" i="39"/>
  <c r="CE14" i="39"/>
  <c r="DC17" i="39"/>
  <c r="BT17" i="39"/>
  <c r="DD19" i="39"/>
  <c r="BU19" i="39"/>
  <c r="BS19" i="39"/>
  <c r="DB19" i="39"/>
  <c r="AZ13" i="39"/>
  <c r="CB14" i="39"/>
  <c r="CT19" i="39"/>
  <c r="BL19" i="39"/>
  <c r="BV17" i="39"/>
  <c r="DE17" i="39"/>
  <c r="BX16" i="39"/>
  <c r="CP11" i="39"/>
  <c r="DY11" i="39"/>
  <c r="AE17" i="39"/>
  <c r="DX12" i="39"/>
  <c r="CO12" i="39"/>
  <c r="DX13" i="39"/>
  <c r="CO13" i="39"/>
  <c r="U19" i="39"/>
  <c r="P20" i="39"/>
  <c r="AT15" i="39"/>
  <c r="DN15" i="39" s="1"/>
  <c r="CX18" i="39"/>
  <c r="BF12" i="39"/>
  <c r="BE12" i="39"/>
  <c r="CG13" i="39"/>
  <c r="Z18" i="39"/>
  <c r="AR15" i="39"/>
  <c r="DL15" i="39" s="1"/>
  <c r="CF14" i="39"/>
  <c r="DO14" i="39"/>
  <c r="AU15" i="39"/>
  <c r="Q22" i="39"/>
  <c r="N22" i="39"/>
  <c r="O22" i="39"/>
  <c r="AA20" i="39"/>
  <c r="AP15" i="39"/>
  <c r="AQ15" i="39"/>
  <c r="DK15" i="39" s="1"/>
  <c r="AV14" i="39"/>
  <c r="AW14" i="39"/>
  <c r="AS15" i="39"/>
  <c r="DM15" i="39" s="1"/>
  <c r="R20" i="39"/>
  <c r="DP13" i="39"/>
  <c r="AD17" i="39" l="1"/>
  <c r="CN13" i="39"/>
  <c r="DW13" i="39"/>
  <c r="CL13" i="39"/>
  <c r="DU13" i="39"/>
  <c r="T19" i="39"/>
  <c r="CJ13" i="39"/>
  <c r="DS13" i="39"/>
  <c r="BO19" i="39"/>
  <c r="BP19" i="39" s="1"/>
  <c r="CA15" i="39"/>
  <c r="DJ15" i="39"/>
  <c r="CK13" i="39"/>
  <c r="DT13" i="39"/>
  <c r="AC18" i="39"/>
  <c r="AD18" i="39" s="1"/>
  <c r="CM13" i="39"/>
  <c r="DV13" i="39"/>
  <c r="CR22" i="39"/>
  <c r="BJ22" i="39"/>
  <c r="BT18" i="39"/>
  <c r="DC18" i="39"/>
  <c r="BB14" i="39"/>
  <c r="CD15" i="39"/>
  <c r="BM22" i="39"/>
  <c r="CU22" i="39"/>
  <c r="AZ14" i="39"/>
  <c r="CB15" i="39"/>
  <c r="BU20" i="39"/>
  <c r="DD20" i="39"/>
  <c r="DA20" i="39"/>
  <c r="BR20" i="39"/>
  <c r="BF13" i="39"/>
  <c r="BE13" i="39"/>
  <c r="BC14" i="39"/>
  <c r="CE15" i="39"/>
  <c r="BA14" i="39"/>
  <c r="CC15" i="39"/>
  <c r="DB20" i="39"/>
  <c r="BS20" i="39"/>
  <c r="BV18" i="39"/>
  <c r="DE18" i="39"/>
  <c r="BN20" i="39"/>
  <c r="CV20" i="39"/>
  <c r="Y21" i="39"/>
  <c r="CS22" i="39"/>
  <c r="BK22" i="39"/>
  <c r="Z19" i="39"/>
  <c r="BL20" i="39"/>
  <c r="CT20" i="39"/>
  <c r="CP12" i="39"/>
  <c r="BX17" i="39"/>
  <c r="DY12" i="39"/>
  <c r="CF15" i="39"/>
  <c r="DO15" i="39"/>
  <c r="AU16" i="39"/>
  <c r="BD15" i="39" s="1"/>
  <c r="AE18" i="39"/>
  <c r="O23" i="39"/>
  <c r="Q23" i="39"/>
  <c r="N23" i="39"/>
  <c r="AQ16" i="39"/>
  <c r="DK16" i="39" s="1"/>
  <c r="AP16" i="39"/>
  <c r="DJ16" i="39" s="1"/>
  <c r="AS16" i="39"/>
  <c r="AW15" i="39"/>
  <c r="AV15" i="39"/>
  <c r="X21" i="39"/>
  <c r="CG14" i="39"/>
  <c r="AT16" i="39"/>
  <c r="DN16" i="39" s="1"/>
  <c r="BW19" i="39"/>
  <c r="BD14" i="39"/>
  <c r="CX19" i="39"/>
  <c r="R21" i="39"/>
  <c r="DP14" i="39"/>
  <c r="U20" i="39"/>
  <c r="P21" i="39"/>
  <c r="T20" i="39"/>
  <c r="AR16" i="39"/>
  <c r="DL16" i="39" s="1"/>
  <c r="AY14" i="39"/>
  <c r="AA21" i="39"/>
  <c r="AB19" i="39"/>
  <c r="BO20" i="39"/>
  <c r="S21" i="39"/>
  <c r="DG17" i="39"/>
  <c r="BW18" i="39" l="1"/>
  <c r="BX18" i="39" s="1"/>
  <c r="CP13" i="39"/>
  <c r="CN14" i="39"/>
  <c r="DW14" i="39"/>
  <c r="CM14" i="39"/>
  <c r="DV14" i="39"/>
  <c r="CK14" i="39"/>
  <c r="DT14" i="39"/>
  <c r="CD16" i="39"/>
  <c r="DM16" i="39"/>
  <c r="CL14" i="39"/>
  <c r="DU14" i="39"/>
  <c r="CJ14" i="39"/>
  <c r="DS14" i="39"/>
  <c r="DY13" i="39"/>
  <c r="DG18" i="39"/>
  <c r="DC19" i="39"/>
  <c r="BT19" i="39"/>
  <c r="AB20" i="39"/>
  <c r="BN21" i="39"/>
  <c r="CV21" i="39"/>
  <c r="AE19" i="39"/>
  <c r="BV19" i="39"/>
  <c r="DE19" i="39"/>
  <c r="AY15" i="39"/>
  <c r="CA16" i="39"/>
  <c r="DD21" i="39"/>
  <c r="BU21" i="39"/>
  <c r="AZ15" i="39"/>
  <c r="CB16" i="39"/>
  <c r="BS21" i="39"/>
  <c r="DB21" i="39"/>
  <c r="BA15" i="39"/>
  <c r="CC16" i="39"/>
  <c r="BC15" i="39"/>
  <c r="CE16" i="39"/>
  <c r="X22" i="39"/>
  <c r="CR23" i="39"/>
  <c r="BJ23" i="39"/>
  <c r="AA22" i="39"/>
  <c r="CU23" i="39"/>
  <c r="BM23" i="39"/>
  <c r="Y22" i="39"/>
  <c r="BK23" i="39"/>
  <c r="CS23" i="39"/>
  <c r="BL21" i="39"/>
  <c r="CT21" i="39"/>
  <c r="BR21" i="39"/>
  <c r="DA21" i="39"/>
  <c r="AD19" i="39"/>
  <c r="CG15" i="39"/>
  <c r="CX20" i="39"/>
  <c r="DX15" i="39"/>
  <c r="CO15" i="39"/>
  <c r="DX14" i="39"/>
  <c r="CO14" i="39"/>
  <c r="BO21" i="39"/>
  <c r="S22" i="39"/>
  <c r="U21" i="39"/>
  <c r="T21" i="39"/>
  <c r="P22" i="39"/>
  <c r="CF16" i="39"/>
  <c r="DO16" i="39"/>
  <c r="AU17" i="39"/>
  <c r="BD16" i="39" s="1"/>
  <c r="Z20" i="39"/>
  <c r="AT17" i="39"/>
  <c r="DN17" i="39" s="1"/>
  <c r="DP15" i="39"/>
  <c r="O24" i="39"/>
  <c r="N24" i="39"/>
  <c r="Q24" i="39"/>
  <c r="AC20" i="39"/>
  <c r="BP20" i="39"/>
  <c r="R22" i="39"/>
  <c r="BB15" i="39"/>
  <c r="DV15" i="39" s="1"/>
  <c r="AS17" i="39"/>
  <c r="AV16" i="39"/>
  <c r="AW16" i="39"/>
  <c r="AQ17" i="39"/>
  <c r="DK17" i="39" s="1"/>
  <c r="AP17" i="39"/>
  <c r="DJ17" i="39" s="1"/>
  <c r="BF14" i="39"/>
  <c r="BE14" i="39"/>
  <c r="AR17" i="39"/>
  <c r="DL17" i="39" s="1"/>
  <c r="BX19" i="39" l="1"/>
  <c r="DG19" i="39"/>
  <c r="CL15" i="39"/>
  <c r="DU15" i="39"/>
  <c r="CN15" i="39"/>
  <c r="DW15" i="39"/>
  <c r="CJ15" i="39"/>
  <c r="DS15" i="39"/>
  <c r="CD17" i="39"/>
  <c r="DM17" i="39"/>
  <c r="CK15" i="39"/>
  <c r="DT15" i="39"/>
  <c r="BE15" i="39"/>
  <c r="CM15" i="39"/>
  <c r="CV22" i="39"/>
  <c r="BN22" i="39"/>
  <c r="BR22" i="39"/>
  <c r="DA22" i="39"/>
  <c r="BA16" i="39"/>
  <c r="CC17" i="39"/>
  <c r="BC16" i="39"/>
  <c r="CE17" i="39"/>
  <c r="DC20" i="39"/>
  <c r="BT20" i="39"/>
  <c r="AY16" i="39"/>
  <c r="CA17" i="39"/>
  <c r="AZ16" i="39"/>
  <c r="CB17" i="39"/>
  <c r="DB22" i="39"/>
  <c r="BS22" i="39"/>
  <c r="AA23" i="39"/>
  <c r="CU24" i="39"/>
  <c r="BM24" i="39"/>
  <c r="CR24" i="39"/>
  <c r="BJ24" i="39"/>
  <c r="BV20" i="39"/>
  <c r="DE20" i="39"/>
  <c r="Y23" i="39"/>
  <c r="BK24" i="39"/>
  <c r="CS24" i="39"/>
  <c r="BL22" i="39"/>
  <c r="CT22" i="39"/>
  <c r="DD22" i="39"/>
  <c r="BU22" i="39"/>
  <c r="DY14" i="39"/>
  <c r="AT18" i="39"/>
  <c r="BO22" i="39"/>
  <c r="S23" i="39"/>
  <c r="AC22" i="39" s="1"/>
  <c r="AC21" i="39"/>
  <c r="R23" i="39"/>
  <c r="CG16" i="39"/>
  <c r="BF15" i="39"/>
  <c r="AE20" i="39"/>
  <c r="P23" i="39"/>
  <c r="U22" i="39"/>
  <c r="T22" i="39"/>
  <c r="CP14" i="39"/>
  <c r="AQ18" i="39"/>
  <c r="DK18" i="39" s="1"/>
  <c r="AV17" i="39"/>
  <c r="AW17" i="39"/>
  <c r="AS18" i="39"/>
  <c r="DM18" i="39" s="1"/>
  <c r="AP18" i="39"/>
  <c r="DJ18" i="39" s="1"/>
  <c r="DO17" i="39"/>
  <c r="CF17" i="39"/>
  <c r="AU18" i="39"/>
  <c r="AB21" i="39"/>
  <c r="O25" i="39"/>
  <c r="Q25" i="39"/>
  <c r="N25" i="39"/>
  <c r="CO16" i="39"/>
  <c r="DX16" i="39"/>
  <c r="DP16" i="39"/>
  <c r="BB16" i="39"/>
  <c r="AR18" i="39"/>
  <c r="DL18" i="39" s="1"/>
  <c r="X23" i="39"/>
  <c r="CX21" i="39"/>
  <c r="BP21" i="39"/>
  <c r="BW20" i="39"/>
  <c r="AD20" i="39"/>
  <c r="Z21" i="39"/>
  <c r="DG20" i="39" l="1"/>
  <c r="CP15" i="39"/>
  <c r="DY15" i="39"/>
  <c r="CJ16" i="39"/>
  <c r="DS16" i="39"/>
  <c r="CE18" i="39"/>
  <c r="DN18" i="39"/>
  <c r="CN16" i="39"/>
  <c r="DW16" i="39"/>
  <c r="CL16" i="39"/>
  <c r="DU16" i="39"/>
  <c r="CM16" i="39"/>
  <c r="DV16" i="39"/>
  <c r="CK16" i="39"/>
  <c r="DT16" i="39"/>
  <c r="AY17" i="39"/>
  <c r="CA18" i="39"/>
  <c r="BU23" i="39"/>
  <c r="DD23" i="39"/>
  <c r="AB22" i="39"/>
  <c r="CV23" i="39"/>
  <c r="BN23" i="39"/>
  <c r="BJ25" i="39"/>
  <c r="CR25" i="39"/>
  <c r="AZ17" i="39"/>
  <c r="CB18" i="39"/>
  <c r="AA24" i="39"/>
  <c r="CU25" i="39"/>
  <c r="BM25" i="39"/>
  <c r="DB23" i="39"/>
  <c r="BS23" i="39"/>
  <c r="DA23" i="39"/>
  <c r="BR23" i="39"/>
  <c r="Y24" i="39"/>
  <c r="BK25" i="39"/>
  <c r="CS25" i="39"/>
  <c r="DE21" i="39"/>
  <c r="BV21" i="39"/>
  <c r="CT23" i="39"/>
  <c r="BL23" i="39"/>
  <c r="BT21" i="39"/>
  <c r="DC21" i="39"/>
  <c r="BB17" i="39"/>
  <c r="CD18" i="39"/>
  <c r="BA17" i="39"/>
  <c r="CC18" i="39"/>
  <c r="CG17" i="39"/>
  <c r="O26" i="39"/>
  <c r="Q26" i="39"/>
  <c r="N26" i="39"/>
  <c r="X25" i="39" s="1"/>
  <c r="AT19" i="39"/>
  <c r="CX22" i="39"/>
  <c r="BP22" i="39"/>
  <c r="DP17" i="39"/>
  <c r="BW21" i="39"/>
  <c r="AD21" i="39"/>
  <c r="R24" i="39"/>
  <c r="BF16" i="39"/>
  <c r="BE16" i="39"/>
  <c r="U23" i="39"/>
  <c r="P24" i="39"/>
  <c r="T23" i="39"/>
  <c r="Z22" i="39"/>
  <c r="CF18" i="39"/>
  <c r="DO18" i="39"/>
  <c r="AU19" i="39"/>
  <c r="BW22" i="39"/>
  <c r="BX20" i="39"/>
  <c r="AV18" i="39"/>
  <c r="AQ19" i="39"/>
  <c r="DK19" i="39" s="1"/>
  <c r="AW18" i="39"/>
  <c r="AS19" i="39"/>
  <c r="DM19" i="39" s="1"/>
  <c r="AP19" i="39"/>
  <c r="BD17" i="39"/>
  <c r="AE21" i="39"/>
  <c r="BC17" i="39"/>
  <c r="X24" i="39"/>
  <c r="AR19" i="39"/>
  <c r="BO23" i="39"/>
  <c r="S24" i="39"/>
  <c r="CP16" i="39" l="1"/>
  <c r="CA19" i="39"/>
  <c r="DJ19" i="39"/>
  <c r="CK17" i="39"/>
  <c r="DT17" i="39"/>
  <c r="CC19" i="39"/>
  <c r="DL19" i="39"/>
  <c r="CM17" i="39"/>
  <c r="DV17" i="39"/>
  <c r="CN17" i="39"/>
  <c r="DW17" i="39"/>
  <c r="CE19" i="39"/>
  <c r="DN19" i="39"/>
  <c r="CL17" i="39"/>
  <c r="DU17" i="39"/>
  <c r="CJ17" i="39"/>
  <c r="DS17" i="39"/>
  <c r="BU24" i="39"/>
  <c r="DD24" i="39"/>
  <c r="DC22" i="39"/>
  <c r="BT22" i="39"/>
  <c r="BX22" i="39" s="1"/>
  <c r="BB18" i="39"/>
  <c r="CD19" i="39"/>
  <c r="Z23" i="39"/>
  <c r="CT24" i="39"/>
  <c r="BL24" i="39"/>
  <c r="BR25" i="39"/>
  <c r="DA25" i="39"/>
  <c r="AZ18" i="39"/>
  <c r="CB19" i="39"/>
  <c r="CR26" i="39"/>
  <c r="BJ26" i="39"/>
  <c r="DB24" i="39"/>
  <c r="BS24" i="39"/>
  <c r="BM26" i="39"/>
  <c r="CU26" i="39"/>
  <c r="AB23" i="39"/>
  <c r="CV24" i="39"/>
  <c r="BN24" i="39"/>
  <c r="BK26" i="39"/>
  <c r="CS26" i="39"/>
  <c r="BV22" i="39"/>
  <c r="DE22" i="39"/>
  <c r="BR24" i="39"/>
  <c r="DA24" i="39"/>
  <c r="DY16" i="39"/>
  <c r="AE22" i="39"/>
  <c r="AV19" i="39"/>
  <c r="AW19" i="39"/>
  <c r="AQ20" i="39"/>
  <c r="DK20" i="39" s="1"/>
  <c r="AS20" i="39"/>
  <c r="DM20" i="39" s="1"/>
  <c r="AP20" i="39"/>
  <c r="DJ20" i="39" s="1"/>
  <c r="AY18" i="39"/>
  <c r="CG18" i="39"/>
  <c r="CX23" i="39"/>
  <c r="BF17" i="39"/>
  <c r="DG21" i="39"/>
  <c r="BP23" i="39"/>
  <c r="BE17" i="39"/>
  <c r="BX21" i="39"/>
  <c r="AR20" i="39"/>
  <c r="DL20" i="39" s="1"/>
  <c r="AD22" i="39"/>
  <c r="AA25" i="39"/>
  <c r="Y25" i="39"/>
  <c r="CO17" i="39"/>
  <c r="DX17" i="39"/>
  <c r="DP18" i="39"/>
  <c r="AU20" i="39"/>
  <c r="BD19" i="39" s="1"/>
  <c r="CF19" i="39"/>
  <c r="DO19" i="39"/>
  <c r="BA18" i="39"/>
  <c r="O27" i="39"/>
  <c r="Q27" i="39"/>
  <c r="N27" i="39"/>
  <c r="T24" i="39"/>
  <c r="U24" i="39"/>
  <c r="P25" i="39"/>
  <c r="AT20" i="39"/>
  <c r="DN20" i="39" s="1"/>
  <c r="BO24" i="39"/>
  <c r="S25" i="39"/>
  <c r="AC23" i="39"/>
  <c r="BD18" i="39"/>
  <c r="R25" i="39"/>
  <c r="BC18" i="39"/>
  <c r="DG22" i="39" l="1"/>
  <c r="AE23" i="39"/>
  <c r="CM18" i="39"/>
  <c r="DV18" i="39"/>
  <c r="CJ18" i="39"/>
  <c r="DS18" i="39"/>
  <c r="CK18" i="39"/>
  <c r="DT18" i="39"/>
  <c r="CN18" i="39"/>
  <c r="DW18" i="39"/>
  <c r="CL18" i="39"/>
  <c r="DU18" i="39"/>
  <c r="BU25" i="39"/>
  <c r="DD25" i="39"/>
  <c r="AB24" i="39"/>
  <c r="BN25" i="39"/>
  <c r="CV25" i="39"/>
  <c r="Y26" i="39"/>
  <c r="BK27" i="39"/>
  <c r="CS27" i="39"/>
  <c r="BA19" i="39"/>
  <c r="CC20" i="39"/>
  <c r="AZ19" i="39"/>
  <c r="CB20" i="39"/>
  <c r="BL25" i="39"/>
  <c r="CT25" i="39"/>
  <c r="DB25" i="39"/>
  <c r="BS25" i="39"/>
  <c r="X26" i="39"/>
  <c r="CR27" i="39"/>
  <c r="BJ27" i="39"/>
  <c r="DE23" i="39"/>
  <c r="BV23" i="39"/>
  <c r="AA26" i="39"/>
  <c r="BM27" i="39"/>
  <c r="CU27" i="39"/>
  <c r="AY19" i="39"/>
  <c r="CA20" i="39"/>
  <c r="BT23" i="39"/>
  <c r="DC23" i="39"/>
  <c r="BB19" i="39"/>
  <c r="CD20" i="39"/>
  <c r="BC19" i="39"/>
  <c r="CE20" i="39"/>
  <c r="CP17" i="39"/>
  <c r="CX24" i="39"/>
  <c r="DY17" i="39"/>
  <c r="T25" i="39"/>
  <c r="P26" i="39"/>
  <c r="U25" i="39"/>
  <c r="AW20" i="39"/>
  <c r="AV20" i="39"/>
  <c r="AQ21" i="39"/>
  <c r="DK21" i="39" s="1"/>
  <c r="AS21" i="39"/>
  <c r="AP21" i="39"/>
  <c r="BO25" i="39"/>
  <c r="S26" i="39"/>
  <c r="AC25" i="39" s="1"/>
  <c r="AR21" i="39"/>
  <c r="CO18" i="39"/>
  <c r="DX18" i="39"/>
  <c r="AT21" i="39"/>
  <c r="CO19" i="39"/>
  <c r="DX19" i="39"/>
  <c r="Z24" i="39"/>
  <c r="O28" i="39"/>
  <c r="Q28" i="39"/>
  <c r="N28" i="39"/>
  <c r="DP19" i="39"/>
  <c r="AC24" i="39"/>
  <c r="R26" i="39"/>
  <c r="BF18" i="39"/>
  <c r="BE18" i="39"/>
  <c r="BW23" i="39"/>
  <c r="AD23" i="39"/>
  <c r="BP24" i="39"/>
  <c r="DO20" i="39"/>
  <c r="AU21" i="39"/>
  <c r="CF20" i="39"/>
  <c r="CG19" i="39"/>
  <c r="DG23" i="39" l="1"/>
  <c r="CC21" i="39"/>
  <c r="DL21" i="39"/>
  <c r="CK19" i="39"/>
  <c r="DT19" i="39"/>
  <c r="CL19" i="39"/>
  <c r="DU19" i="39"/>
  <c r="CE21" i="39"/>
  <c r="DN21" i="39"/>
  <c r="CJ19" i="39"/>
  <c r="DS19" i="39"/>
  <c r="CN19" i="39"/>
  <c r="DW19" i="39"/>
  <c r="CA21" i="39"/>
  <c r="DJ21" i="39"/>
  <c r="CD21" i="39"/>
  <c r="DM21" i="39"/>
  <c r="CM19" i="39"/>
  <c r="DV19" i="39"/>
  <c r="BF19" i="39"/>
  <c r="BN26" i="39"/>
  <c r="CV26" i="39"/>
  <c r="BU26" i="39"/>
  <c r="DD26" i="39"/>
  <c r="AZ20" i="39"/>
  <c r="CB21" i="39"/>
  <c r="X27" i="39"/>
  <c r="BJ28" i="39"/>
  <c r="CR28" i="39"/>
  <c r="AA27" i="39"/>
  <c r="CU28" i="39"/>
  <c r="BM28" i="39"/>
  <c r="DA26" i="39"/>
  <c r="BR26" i="39"/>
  <c r="DB26" i="39"/>
  <c r="BS26" i="39"/>
  <c r="Y27" i="39"/>
  <c r="CS28" i="39"/>
  <c r="BK28" i="39"/>
  <c r="BX23" i="39"/>
  <c r="DC24" i="39"/>
  <c r="BT24" i="39"/>
  <c r="Z25" i="39"/>
  <c r="CT26" i="39"/>
  <c r="BL26" i="39"/>
  <c r="DE24" i="39"/>
  <c r="BV24" i="39"/>
  <c r="BE19" i="39"/>
  <c r="CG20" i="39"/>
  <c r="AS22" i="39"/>
  <c r="DM22" i="39" s="1"/>
  <c r="AQ22" i="39"/>
  <c r="AP22" i="39"/>
  <c r="AV21" i="39"/>
  <c r="AW21" i="39"/>
  <c r="DP20" i="39"/>
  <c r="DY18" i="39"/>
  <c r="BW24" i="39"/>
  <c r="AD24" i="39"/>
  <c r="AY20" i="39"/>
  <c r="AT22" i="39"/>
  <c r="CX25" i="39"/>
  <c r="BB20" i="39"/>
  <c r="R27" i="39"/>
  <c r="BW25" i="39"/>
  <c r="CF21" i="39"/>
  <c r="DO21" i="39"/>
  <c r="AU22" i="39"/>
  <c r="T26" i="39"/>
  <c r="U26" i="39"/>
  <c r="P27" i="39"/>
  <c r="AB25" i="39"/>
  <c r="AR22" i="39"/>
  <c r="BP25" i="39"/>
  <c r="CP18" i="39"/>
  <c r="AE24" i="39"/>
  <c r="BC20" i="39"/>
  <c r="BA20" i="39"/>
  <c r="BD20" i="39"/>
  <c r="Q29" i="39"/>
  <c r="N29" i="39"/>
  <c r="O29" i="39"/>
  <c r="BO26" i="39"/>
  <c r="S27" i="39"/>
  <c r="DY19" i="39" l="1"/>
  <c r="CP19" i="39"/>
  <c r="CK20" i="39"/>
  <c r="DT20" i="39"/>
  <c r="CN20" i="39"/>
  <c r="DW20" i="39"/>
  <c r="CJ20" i="39"/>
  <c r="DS20" i="39"/>
  <c r="CL20" i="39"/>
  <c r="DU20" i="39"/>
  <c r="CA22" i="39"/>
  <c r="DJ22" i="39"/>
  <c r="CB22" i="39"/>
  <c r="DK22" i="39"/>
  <c r="CE22" i="39"/>
  <c r="DN22" i="39"/>
  <c r="DG24" i="39"/>
  <c r="CM20" i="39"/>
  <c r="DV20" i="39"/>
  <c r="CC22" i="39"/>
  <c r="DL22" i="39"/>
  <c r="AD25" i="39"/>
  <c r="BV25" i="39"/>
  <c r="DE25" i="39"/>
  <c r="Z26" i="39"/>
  <c r="CT27" i="39"/>
  <c r="BL27" i="39"/>
  <c r="DB27" i="39"/>
  <c r="BS27" i="39"/>
  <c r="CS29" i="39"/>
  <c r="BK29" i="39"/>
  <c r="X28" i="39"/>
  <c r="BJ29" i="39"/>
  <c r="CR29" i="39"/>
  <c r="CU29" i="39"/>
  <c r="BM29" i="39"/>
  <c r="BU27" i="39"/>
  <c r="DD27" i="39"/>
  <c r="BB21" i="39"/>
  <c r="CD22" i="39"/>
  <c r="DA27" i="39"/>
  <c r="BR27" i="39"/>
  <c r="CV27" i="39"/>
  <c r="BN27" i="39"/>
  <c r="DC25" i="39"/>
  <c r="BT25" i="39"/>
  <c r="BP26" i="39"/>
  <c r="CX26" i="39"/>
  <c r="AE25" i="39"/>
  <c r="AS23" i="39"/>
  <c r="DM23" i="39" s="1"/>
  <c r="AQ23" i="39"/>
  <c r="DK23" i="39" s="1"/>
  <c r="AW22" i="39"/>
  <c r="AV22" i="39"/>
  <c r="AP23" i="39"/>
  <c r="AY21" i="39"/>
  <c r="BC21" i="39"/>
  <c r="BO27" i="39"/>
  <c r="S28" i="39"/>
  <c r="AC27" i="39" s="1"/>
  <c r="R28" i="39"/>
  <c r="DP21" i="39"/>
  <c r="N30" i="39"/>
  <c r="Q30" i="39"/>
  <c r="O30" i="39"/>
  <c r="AC26" i="39"/>
  <c r="BX24" i="39"/>
  <c r="AB26" i="39"/>
  <c r="BE20" i="39"/>
  <c r="BF20" i="39"/>
  <c r="DO22" i="39"/>
  <c r="CF22" i="39"/>
  <c r="AU23" i="39"/>
  <c r="BD22" i="39" s="1"/>
  <c r="CG21" i="39"/>
  <c r="AR23" i="39"/>
  <c r="Y28" i="39"/>
  <c r="AT23" i="39"/>
  <c r="AA28" i="39"/>
  <c r="CO20" i="39"/>
  <c r="DX20" i="39"/>
  <c r="AZ21" i="39"/>
  <c r="BA21" i="39"/>
  <c r="U27" i="39"/>
  <c r="P28" i="39"/>
  <c r="T27" i="39"/>
  <c r="BD21" i="39"/>
  <c r="BX25" i="39" l="1"/>
  <c r="CC23" i="39"/>
  <c r="DL23" i="39"/>
  <c r="CL21" i="39"/>
  <c r="DU21" i="39"/>
  <c r="CN21" i="39"/>
  <c r="DW21" i="39"/>
  <c r="CA23" i="39"/>
  <c r="DJ23" i="39"/>
  <c r="CK21" i="39"/>
  <c r="DT21" i="39"/>
  <c r="CJ21" i="39"/>
  <c r="DS21" i="39"/>
  <c r="CE23" i="39"/>
  <c r="DN23" i="39"/>
  <c r="CM21" i="39"/>
  <c r="DV21" i="39"/>
  <c r="DG25" i="39"/>
  <c r="BS28" i="39"/>
  <c r="DB28" i="39"/>
  <c r="X29" i="39"/>
  <c r="BJ30" i="39"/>
  <c r="CR30" i="39"/>
  <c r="BN28" i="39"/>
  <c r="CV28" i="39"/>
  <c r="DA28" i="39"/>
  <c r="BR28" i="39"/>
  <c r="Y29" i="39"/>
  <c r="CS30" i="39"/>
  <c r="BK30" i="39"/>
  <c r="CU30" i="39"/>
  <c r="BM30" i="39"/>
  <c r="AZ22" i="39"/>
  <c r="CB23" i="39"/>
  <c r="BB22" i="39"/>
  <c r="CD23" i="39"/>
  <c r="DC26" i="39"/>
  <c r="BT26" i="39"/>
  <c r="DD28" i="39"/>
  <c r="BU28" i="39"/>
  <c r="Z27" i="39"/>
  <c r="CT28" i="39"/>
  <c r="BL28" i="39"/>
  <c r="DE26" i="39"/>
  <c r="BV26" i="39"/>
  <c r="DY20" i="39"/>
  <c r="CO22" i="39"/>
  <c r="DX22" i="39"/>
  <c r="AV23" i="39"/>
  <c r="AW23" i="39"/>
  <c r="AS24" i="39"/>
  <c r="AP24" i="39"/>
  <c r="AQ24" i="39"/>
  <c r="DK24" i="39" s="1"/>
  <c r="S29" i="39"/>
  <c r="AC28" i="39" s="1"/>
  <c r="BO28" i="39"/>
  <c r="O31" i="39"/>
  <c r="Q31" i="39"/>
  <c r="N31" i="39"/>
  <c r="CG22" i="39"/>
  <c r="AY22" i="39"/>
  <c r="CO21" i="39"/>
  <c r="DX21" i="39"/>
  <c r="P29" i="39"/>
  <c r="U28" i="39"/>
  <c r="T28" i="39"/>
  <c r="AA29" i="39"/>
  <c r="DO23" i="39"/>
  <c r="AU24" i="39"/>
  <c r="CF23" i="39"/>
  <c r="DP22" i="39"/>
  <c r="BW27" i="39"/>
  <c r="AR24" i="39"/>
  <c r="DL24" i="39" s="1"/>
  <c r="CX27" i="39"/>
  <c r="BP27" i="39"/>
  <c r="AT24" i="39"/>
  <c r="DN24" i="39" s="1"/>
  <c r="AE26" i="39"/>
  <c r="BA22" i="39"/>
  <c r="AD26" i="39"/>
  <c r="BW26" i="39"/>
  <c r="BF21" i="39"/>
  <c r="BE21" i="39"/>
  <c r="R29" i="39"/>
  <c r="BC22" i="39"/>
  <c r="CP20" i="39"/>
  <c r="AB27" i="39"/>
  <c r="DG26" i="39" l="1"/>
  <c r="CJ22" i="39"/>
  <c r="DS22" i="39"/>
  <c r="CM22" i="39"/>
  <c r="DV22" i="39"/>
  <c r="CK22" i="39"/>
  <c r="DT22" i="39"/>
  <c r="CN22" i="39"/>
  <c r="DW22" i="39"/>
  <c r="CL22" i="39"/>
  <c r="DU22" i="39"/>
  <c r="CA24" i="39"/>
  <c r="DJ24" i="39"/>
  <c r="CD24" i="39"/>
  <c r="DM24" i="39"/>
  <c r="AZ23" i="39"/>
  <c r="CB24" i="39"/>
  <c r="Z28" i="39"/>
  <c r="BL29" i="39"/>
  <c r="CT29" i="39"/>
  <c r="BT27" i="39"/>
  <c r="DC27" i="39"/>
  <c r="DB29" i="39"/>
  <c r="BS29" i="39"/>
  <c r="AD27" i="39"/>
  <c r="BV27" i="39"/>
  <c r="DE27" i="39"/>
  <c r="BC23" i="39"/>
  <c r="CE24" i="39"/>
  <c r="X30" i="39"/>
  <c r="CR31" i="39"/>
  <c r="BJ31" i="39"/>
  <c r="AA30" i="39"/>
  <c r="CU31" i="39"/>
  <c r="BM31" i="39"/>
  <c r="BN29" i="39"/>
  <c r="CV29" i="39"/>
  <c r="Y30" i="39"/>
  <c r="BK31" i="39"/>
  <c r="CS31" i="39"/>
  <c r="BU29" i="39"/>
  <c r="DD29" i="39"/>
  <c r="BR29" i="39"/>
  <c r="DA29" i="39"/>
  <c r="BA23" i="39"/>
  <c r="CC24" i="39"/>
  <c r="BX26" i="39"/>
  <c r="AT25" i="39"/>
  <c r="AE27" i="39"/>
  <c r="CF24" i="39"/>
  <c r="DO24" i="39"/>
  <c r="AU25" i="39"/>
  <c r="BD24" i="39" s="1"/>
  <c r="BB23" i="39"/>
  <c r="BD23" i="39"/>
  <c r="BP28" i="39"/>
  <c r="DP23" i="39"/>
  <c r="R30" i="39"/>
  <c r="AB28" i="39"/>
  <c r="Q32" i="39"/>
  <c r="O32" i="39"/>
  <c r="N32" i="39"/>
  <c r="CX28" i="39"/>
  <c r="AR25" i="39"/>
  <c r="DY21" i="39"/>
  <c r="AQ25" i="39"/>
  <c r="DK25" i="39" s="1"/>
  <c r="AW24" i="39"/>
  <c r="AV24" i="39"/>
  <c r="AP25" i="39"/>
  <c r="DJ25" i="39" s="1"/>
  <c r="AS25" i="39"/>
  <c r="DM25" i="39" s="1"/>
  <c r="BW28" i="39"/>
  <c r="U29" i="39"/>
  <c r="T29" i="39"/>
  <c r="P30" i="39"/>
  <c r="CP21" i="39"/>
  <c r="AY23" i="39"/>
  <c r="BF22" i="39"/>
  <c r="BE22" i="39"/>
  <c r="BO29" i="39"/>
  <c r="S30" i="39"/>
  <c r="CG23" i="39"/>
  <c r="CE25" i="39" l="1"/>
  <c r="DN25" i="39"/>
  <c r="CL23" i="39"/>
  <c r="DU23" i="39"/>
  <c r="CM23" i="39"/>
  <c r="DV23" i="39"/>
  <c r="CK23" i="39"/>
  <c r="DT23" i="39"/>
  <c r="CJ23" i="39"/>
  <c r="DS23" i="39"/>
  <c r="CC25" i="39"/>
  <c r="DL25" i="39"/>
  <c r="DG27" i="39"/>
  <c r="CN23" i="39"/>
  <c r="DW23" i="39"/>
  <c r="BX27" i="39"/>
  <c r="AE28" i="39"/>
  <c r="DE28" i="39"/>
  <c r="BV28" i="39"/>
  <c r="DB30" i="39"/>
  <c r="BS30" i="39"/>
  <c r="AZ24" i="39"/>
  <c r="CB25" i="39"/>
  <c r="AB29" i="39"/>
  <c r="BN30" i="39"/>
  <c r="CV30" i="39"/>
  <c r="Z29" i="39"/>
  <c r="CT30" i="39"/>
  <c r="BL30" i="39"/>
  <c r="DD30" i="39"/>
  <c r="BU30" i="39"/>
  <c r="CR32" i="39"/>
  <c r="BJ32" i="39"/>
  <c r="BR30" i="39"/>
  <c r="DA30" i="39"/>
  <c r="BT28" i="39"/>
  <c r="DC28" i="39"/>
  <c r="BB24" i="39"/>
  <c r="CD25" i="39"/>
  <c r="BK32" i="39"/>
  <c r="CS32" i="39"/>
  <c r="AY24" i="39"/>
  <c r="CA25" i="39"/>
  <c r="AA31" i="39"/>
  <c r="CU32" i="39"/>
  <c r="BM32" i="39"/>
  <c r="CX29" i="39"/>
  <c r="AD28" i="39"/>
  <c r="DX24" i="39"/>
  <c r="CO24" i="39"/>
  <c r="BP29" i="39"/>
  <c r="AR26" i="39"/>
  <c r="Q33" i="39"/>
  <c r="O33" i="39"/>
  <c r="N33" i="39"/>
  <c r="BO30" i="39"/>
  <c r="S31" i="39"/>
  <c r="CO23" i="39"/>
  <c r="DX23" i="39"/>
  <c r="DP24" i="39"/>
  <c r="BF23" i="39"/>
  <c r="BE23" i="39"/>
  <c r="AT26" i="39"/>
  <c r="P31" i="39"/>
  <c r="U30" i="39"/>
  <c r="T30" i="39"/>
  <c r="DO25" i="39"/>
  <c r="CF25" i="39"/>
  <c r="AU26" i="39"/>
  <c r="BD25" i="39" s="1"/>
  <c r="X31" i="39"/>
  <c r="BC24" i="39"/>
  <c r="AC29" i="39"/>
  <c r="Y31" i="39"/>
  <c r="DY22" i="39"/>
  <c r="AQ26" i="39"/>
  <c r="DK26" i="39" s="1"/>
  <c r="AW25" i="39"/>
  <c r="AS26" i="39"/>
  <c r="AP26" i="39"/>
  <c r="AV25" i="39"/>
  <c r="CP22" i="39"/>
  <c r="CG24" i="39"/>
  <c r="BA24" i="39"/>
  <c r="R31" i="39"/>
  <c r="AE29" i="39" l="1"/>
  <c r="BX28" i="39"/>
  <c r="CL24" i="39"/>
  <c r="DU24" i="39"/>
  <c r="CK24" i="39"/>
  <c r="DT24" i="39"/>
  <c r="CN24" i="39"/>
  <c r="DW24" i="39"/>
  <c r="CA26" i="39"/>
  <c r="DJ26" i="39"/>
  <c r="CD26" i="39"/>
  <c r="DM26" i="39"/>
  <c r="CJ24" i="39"/>
  <c r="DS24" i="39"/>
  <c r="CE26" i="39"/>
  <c r="DN26" i="39"/>
  <c r="CC26" i="39"/>
  <c r="DL26" i="39"/>
  <c r="CM24" i="39"/>
  <c r="DV24" i="39"/>
  <c r="DG28" i="39"/>
  <c r="BS31" i="39"/>
  <c r="DB31" i="39"/>
  <c r="CR33" i="39"/>
  <c r="BJ33" i="39"/>
  <c r="Y32" i="39"/>
  <c r="CS33" i="39"/>
  <c r="BK33" i="39"/>
  <c r="DD31" i="39"/>
  <c r="BU31" i="39"/>
  <c r="BR31" i="39"/>
  <c r="DA31" i="39"/>
  <c r="AA32" i="39"/>
  <c r="CU33" i="39"/>
  <c r="BM33" i="39"/>
  <c r="DC29" i="39"/>
  <c r="BT29" i="39"/>
  <c r="AZ25" i="39"/>
  <c r="CB26" i="39"/>
  <c r="CT31" i="39"/>
  <c r="BL31" i="39"/>
  <c r="AB30" i="39"/>
  <c r="CV31" i="39"/>
  <c r="BN31" i="39"/>
  <c r="BV29" i="39"/>
  <c r="DE29" i="39"/>
  <c r="BE24" i="39"/>
  <c r="CP23" i="39"/>
  <c r="DY23" i="39"/>
  <c r="BF24" i="39"/>
  <c r="CO25" i="39"/>
  <c r="DX25" i="39"/>
  <c r="AT27" i="39"/>
  <c r="S32" i="39"/>
  <c r="AC31" i="39" s="1"/>
  <c r="BO31" i="39"/>
  <c r="BB25" i="39"/>
  <c r="CG25" i="39"/>
  <c r="BW29" i="39"/>
  <c r="AD29" i="39"/>
  <c r="Q34" i="39"/>
  <c r="O34" i="39"/>
  <c r="N34" i="39"/>
  <c r="X32" i="39"/>
  <c r="CF26" i="39"/>
  <c r="AU27" i="39"/>
  <c r="BD26" i="39" s="1"/>
  <c r="DO26" i="39"/>
  <c r="BA25" i="39"/>
  <c r="AC30" i="39"/>
  <c r="BP30" i="39"/>
  <c r="AR27" i="39"/>
  <c r="DL27" i="39" s="1"/>
  <c r="P32" i="39"/>
  <c r="U31" i="39"/>
  <c r="T31" i="39"/>
  <c r="Z30" i="39"/>
  <c r="AS27" i="39"/>
  <c r="DM27" i="39" s="1"/>
  <c r="AW26" i="39"/>
  <c r="AV26" i="39"/>
  <c r="AQ27" i="39"/>
  <c r="AP27" i="39"/>
  <c r="DJ27" i="39" s="1"/>
  <c r="CX30" i="39"/>
  <c r="BC25" i="39"/>
  <c r="AY25" i="39"/>
  <c r="R32" i="39"/>
  <c r="DP25" i="39"/>
  <c r="CK25" i="39" l="1"/>
  <c r="DT25" i="39"/>
  <c r="CJ25" i="39"/>
  <c r="DS25" i="39"/>
  <c r="CN25" i="39"/>
  <c r="DW25" i="39"/>
  <c r="CE27" i="39"/>
  <c r="DN27" i="39"/>
  <c r="CM25" i="39"/>
  <c r="DV25" i="39"/>
  <c r="CL25" i="39"/>
  <c r="DU25" i="39"/>
  <c r="CB27" i="39"/>
  <c r="DK27" i="39"/>
  <c r="DG29" i="39"/>
  <c r="DD32" i="39"/>
  <c r="BU32" i="39"/>
  <c r="DA32" i="39"/>
  <c r="BR32" i="39"/>
  <c r="Y33" i="39"/>
  <c r="CS34" i="39"/>
  <c r="BK34" i="39"/>
  <c r="BV30" i="39"/>
  <c r="DE30" i="39"/>
  <c r="DC30" i="39"/>
  <c r="BT30" i="39"/>
  <c r="AB31" i="39"/>
  <c r="CV32" i="39"/>
  <c r="BN32" i="39"/>
  <c r="CR34" i="39"/>
  <c r="BJ34" i="39"/>
  <c r="BL32" i="39"/>
  <c r="CT32" i="39"/>
  <c r="AA33" i="39"/>
  <c r="CU34" i="39"/>
  <c r="BM34" i="39"/>
  <c r="BA26" i="39"/>
  <c r="CC27" i="39"/>
  <c r="AY26" i="39"/>
  <c r="CA27" i="39"/>
  <c r="BS32" i="39"/>
  <c r="DB32" i="39"/>
  <c r="BX29" i="39"/>
  <c r="BB26" i="39"/>
  <c r="CD27" i="39"/>
  <c r="DY24" i="39"/>
  <c r="CP24" i="39"/>
  <c r="CX31" i="39"/>
  <c r="CG26" i="39"/>
  <c r="BO32" i="39"/>
  <c r="S33" i="39"/>
  <c r="AC32" i="39" s="1"/>
  <c r="BW31" i="39"/>
  <c r="DX26" i="39"/>
  <c r="CO26" i="39"/>
  <c r="Q35" i="39"/>
  <c r="O35" i="39"/>
  <c r="N35" i="39"/>
  <c r="AE30" i="39"/>
  <c r="BP31" i="39"/>
  <c r="DP26" i="39"/>
  <c r="AW27" i="39"/>
  <c r="AS28" i="39"/>
  <c r="DM28" i="39" s="1"/>
  <c r="AQ28" i="39"/>
  <c r="DK28" i="39" s="1"/>
  <c r="AP28" i="39"/>
  <c r="DJ28" i="39" s="1"/>
  <c r="AV27" i="39"/>
  <c r="U32" i="39"/>
  <c r="P33" i="39"/>
  <c r="T32" i="39"/>
  <c r="Z31" i="39"/>
  <c r="AR28" i="39"/>
  <c r="DL28" i="39" s="1"/>
  <c r="X33" i="39"/>
  <c r="BC26" i="39"/>
  <c r="AT28" i="39"/>
  <c r="DN28" i="39" s="1"/>
  <c r="BF25" i="39"/>
  <c r="BE25" i="39"/>
  <c r="AZ26" i="39"/>
  <c r="AD30" i="39"/>
  <c r="BW30" i="39"/>
  <c r="R33" i="39"/>
  <c r="CF27" i="39"/>
  <c r="DO27" i="39"/>
  <c r="AU28" i="39"/>
  <c r="BD27" i="39" s="1"/>
  <c r="DG30" i="39" l="1"/>
  <c r="CM26" i="39"/>
  <c r="DV26" i="39"/>
  <c r="CK26" i="39"/>
  <c r="DT26" i="39"/>
  <c r="CJ26" i="39"/>
  <c r="DS26" i="39"/>
  <c r="CN26" i="39"/>
  <c r="DW26" i="39"/>
  <c r="CL26" i="39"/>
  <c r="DU26" i="39"/>
  <c r="AY27" i="39"/>
  <c r="CA28" i="39"/>
  <c r="Y34" i="39"/>
  <c r="CS35" i="39"/>
  <c r="BK35" i="39"/>
  <c r="BC27" i="39"/>
  <c r="CE28" i="39"/>
  <c r="AZ27" i="39"/>
  <c r="CB28" i="39"/>
  <c r="AA34" i="39"/>
  <c r="BM35" i="39"/>
  <c r="CU35" i="39"/>
  <c r="DD33" i="39"/>
  <c r="BU33" i="39"/>
  <c r="BB27" i="39"/>
  <c r="CD28" i="39"/>
  <c r="AB32" i="39"/>
  <c r="BN33" i="39"/>
  <c r="CV33" i="39"/>
  <c r="DA33" i="39"/>
  <c r="BR33" i="39"/>
  <c r="BS33" i="39"/>
  <c r="DB33" i="39"/>
  <c r="BA27" i="39"/>
  <c r="CC28" i="39"/>
  <c r="DE31" i="39"/>
  <c r="BV31" i="39"/>
  <c r="BL33" i="39"/>
  <c r="CT33" i="39"/>
  <c r="CR35" i="39"/>
  <c r="BJ35" i="39"/>
  <c r="AD31" i="39"/>
  <c r="DC31" i="39"/>
  <c r="BT31" i="39"/>
  <c r="CX32" i="39"/>
  <c r="BP32" i="39"/>
  <c r="BF26" i="39"/>
  <c r="DY25" i="39"/>
  <c r="DP27" i="39"/>
  <c r="CO27" i="39"/>
  <c r="DX27" i="39"/>
  <c r="BW32" i="39"/>
  <c r="O36" i="39"/>
  <c r="N36" i="39"/>
  <c r="Q36" i="39"/>
  <c r="T33" i="39"/>
  <c r="U33" i="39"/>
  <c r="P34" i="39"/>
  <c r="X34" i="39"/>
  <c r="BO33" i="39"/>
  <c r="S34" i="39"/>
  <c r="R34" i="39"/>
  <c r="Z32" i="39"/>
  <c r="BX30" i="39"/>
  <c r="CP25" i="39"/>
  <c r="CF28" i="39"/>
  <c r="DO28" i="39"/>
  <c r="AU29" i="39"/>
  <c r="AS29" i="39"/>
  <c r="DM29" i="39" s="1"/>
  <c r="AP29" i="39"/>
  <c r="AW28" i="39"/>
  <c r="AV28" i="39"/>
  <c r="AQ29" i="39"/>
  <c r="DK29" i="39" s="1"/>
  <c r="AR29" i="39"/>
  <c r="CG27" i="39"/>
  <c r="AE31" i="39"/>
  <c r="AT29" i="39"/>
  <c r="BE26" i="39"/>
  <c r="BX31" i="39" l="1"/>
  <c r="CL27" i="39"/>
  <c r="DU27" i="39"/>
  <c r="CK27" i="39"/>
  <c r="DT27" i="39"/>
  <c r="CA29" i="39"/>
  <c r="DJ29" i="39"/>
  <c r="CE29" i="39"/>
  <c r="DN29" i="39"/>
  <c r="CN27" i="39"/>
  <c r="DW27" i="39"/>
  <c r="CJ27" i="39"/>
  <c r="DS27" i="39"/>
  <c r="DG31" i="39"/>
  <c r="CC29" i="39"/>
  <c r="DL29" i="39"/>
  <c r="CM27" i="39"/>
  <c r="DV27" i="39"/>
  <c r="X35" i="39"/>
  <c r="CR36" i="39"/>
  <c r="BJ36" i="39"/>
  <c r="DD34" i="39"/>
  <c r="BU34" i="39"/>
  <c r="BB28" i="39"/>
  <c r="CD29" i="39"/>
  <c r="BF27" i="39"/>
  <c r="CV34" i="39"/>
  <c r="BN34" i="39"/>
  <c r="AA35" i="39"/>
  <c r="BM36" i="39"/>
  <c r="CU36" i="39"/>
  <c r="CS36" i="39"/>
  <c r="BK36" i="39"/>
  <c r="BR34" i="39"/>
  <c r="DA34" i="39"/>
  <c r="BL34" i="39"/>
  <c r="CT34" i="39"/>
  <c r="BV32" i="39"/>
  <c r="DE32" i="39"/>
  <c r="BS34" i="39"/>
  <c r="DB34" i="39"/>
  <c r="AZ28" i="39"/>
  <c r="CB29" i="39"/>
  <c r="AD32" i="39"/>
  <c r="DC32" i="39"/>
  <c r="BT32" i="39"/>
  <c r="BE27" i="39"/>
  <c r="CP26" i="39"/>
  <c r="DY26" i="39"/>
  <c r="AP30" i="39"/>
  <c r="AQ30" i="39"/>
  <c r="AS30" i="39"/>
  <c r="AW29" i="39"/>
  <c r="AV29" i="39"/>
  <c r="S35" i="39"/>
  <c r="AC34" i="39" s="1"/>
  <c r="BO34" i="39"/>
  <c r="AC33" i="39"/>
  <c r="P35" i="39"/>
  <c r="T34" i="39"/>
  <c r="U34" i="39"/>
  <c r="AR30" i="39"/>
  <c r="AY28" i="39"/>
  <c r="AE32" i="39"/>
  <c r="Z33" i="39"/>
  <c r="AT30" i="39"/>
  <c r="DN30" i="39" s="1"/>
  <c r="DP28" i="39"/>
  <c r="DO29" i="39"/>
  <c r="CF29" i="39"/>
  <c r="AU30" i="39"/>
  <c r="BD28" i="39"/>
  <c r="CX33" i="39"/>
  <c r="Y35" i="39"/>
  <c r="BA28" i="39"/>
  <c r="BP33" i="39"/>
  <c r="BC28" i="39"/>
  <c r="CG28" i="39"/>
  <c r="R35" i="39"/>
  <c r="Q37" i="39"/>
  <c r="N37" i="39"/>
  <c r="O37" i="39"/>
  <c r="AB33" i="39"/>
  <c r="CP27" i="39" l="1"/>
  <c r="DY27" i="39"/>
  <c r="CM28" i="39"/>
  <c r="DV28" i="39"/>
  <c r="CK28" i="39"/>
  <c r="DT28" i="39"/>
  <c r="CN28" i="39"/>
  <c r="DW28" i="39"/>
  <c r="CD30" i="39"/>
  <c r="DM30" i="39"/>
  <c r="CJ28" i="39"/>
  <c r="DS28" i="39"/>
  <c r="CB30" i="39"/>
  <c r="DK30" i="39"/>
  <c r="CL28" i="39"/>
  <c r="DU28" i="39"/>
  <c r="CC30" i="39"/>
  <c r="DL30" i="39"/>
  <c r="CA30" i="39"/>
  <c r="DJ30" i="39"/>
  <c r="DG32" i="39"/>
  <c r="BX32" i="39"/>
  <c r="DD35" i="39"/>
  <c r="BU35" i="39"/>
  <c r="BT33" i="39"/>
  <c r="DC33" i="39"/>
  <c r="CV35" i="39"/>
  <c r="BN35" i="39"/>
  <c r="BL35" i="39"/>
  <c r="CT35" i="39"/>
  <c r="BC29" i="39"/>
  <c r="CE30" i="39"/>
  <c r="DB35" i="39"/>
  <c r="BS35" i="39"/>
  <c r="BV33" i="39"/>
  <c r="DE33" i="39"/>
  <c r="Y36" i="39"/>
  <c r="BK37" i="39"/>
  <c r="CS37" i="39"/>
  <c r="CR37" i="39"/>
  <c r="BJ37" i="39"/>
  <c r="AA36" i="39"/>
  <c r="CU37" i="39"/>
  <c r="BM37" i="39"/>
  <c r="AY29" i="39"/>
  <c r="DA35" i="39"/>
  <c r="BR35" i="39"/>
  <c r="CX34" i="39"/>
  <c r="BP34" i="39"/>
  <c r="BW34" i="39"/>
  <c r="U35" i="39"/>
  <c r="P36" i="39"/>
  <c r="T35" i="39"/>
  <c r="CF30" i="39"/>
  <c r="DO30" i="39"/>
  <c r="AU31" i="39"/>
  <c r="AR31" i="39"/>
  <c r="DL31" i="39" s="1"/>
  <c r="AE33" i="39"/>
  <c r="CG29" i="39"/>
  <c r="BD29" i="39"/>
  <c r="AQ31" i="39"/>
  <c r="AW30" i="39"/>
  <c r="AV30" i="39"/>
  <c r="AP31" i="39"/>
  <c r="DJ31" i="39" s="1"/>
  <c r="AS31" i="39"/>
  <c r="Q38" i="39"/>
  <c r="O38" i="39"/>
  <c r="N38" i="39"/>
  <c r="Z34" i="39"/>
  <c r="X36" i="39"/>
  <c r="AT31" i="39"/>
  <c r="DN31" i="39" s="1"/>
  <c r="BE28" i="39"/>
  <c r="BF28" i="39"/>
  <c r="R36" i="39"/>
  <c r="S36" i="39"/>
  <c r="BO35" i="39"/>
  <c r="DP29" i="39"/>
  <c r="DX28" i="39"/>
  <c r="CO28" i="39"/>
  <c r="BW33" i="39"/>
  <c r="AD33" i="39"/>
  <c r="AB34" i="39"/>
  <c r="BA29" i="39"/>
  <c r="BB29" i="39"/>
  <c r="AZ29" i="39"/>
  <c r="CM29" i="39" l="1"/>
  <c r="DV29" i="39"/>
  <c r="CL29" i="39"/>
  <c r="DU29" i="39"/>
  <c r="CJ29" i="39"/>
  <c r="DS29" i="39"/>
  <c r="CN29" i="39"/>
  <c r="DW29" i="39"/>
  <c r="CD31" i="39"/>
  <c r="DM31" i="39"/>
  <c r="CK29" i="39"/>
  <c r="DT29" i="39"/>
  <c r="CB31" i="39"/>
  <c r="DK31" i="39"/>
  <c r="BC30" i="39"/>
  <c r="CE31" i="39"/>
  <c r="Z35" i="39"/>
  <c r="BL36" i="39"/>
  <c r="CT36" i="39"/>
  <c r="DD36" i="39"/>
  <c r="BU36" i="39"/>
  <c r="DA36" i="39"/>
  <c r="BR36" i="39"/>
  <c r="BT34" i="39"/>
  <c r="DC34" i="39"/>
  <c r="CR38" i="39"/>
  <c r="BJ38" i="39"/>
  <c r="BK38" i="39"/>
  <c r="CS38" i="39"/>
  <c r="AZ30" i="39"/>
  <c r="BS36" i="39"/>
  <c r="DB36" i="39"/>
  <c r="AB35" i="39"/>
  <c r="CV36" i="39"/>
  <c r="BN36" i="39"/>
  <c r="AA37" i="39"/>
  <c r="CU38" i="39"/>
  <c r="BM38" i="39"/>
  <c r="BA30" i="39"/>
  <c r="CC31" i="39"/>
  <c r="DE34" i="39"/>
  <c r="BV34" i="39"/>
  <c r="AY30" i="39"/>
  <c r="CA31" i="39"/>
  <c r="BP35" i="39"/>
  <c r="BE29" i="39"/>
  <c r="CX35" i="39"/>
  <c r="CG30" i="39"/>
  <c r="CF31" i="39"/>
  <c r="AU32" i="39"/>
  <c r="BD31" i="39" s="1"/>
  <c r="DO31" i="39"/>
  <c r="AE34" i="39"/>
  <c r="AD34" i="39"/>
  <c r="DG33" i="39"/>
  <c r="DP30" i="39"/>
  <c r="Q39" i="39"/>
  <c r="O39" i="39"/>
  <c r="N39" i="39"/>
  <c r="R37" i="39"/>
  <c r="CO29" i="39"/>
  <c r="DX29" i="39"/>
  <c r="AR32" i="39"/>
  <c r="DL32" i="39" s="1"/>
  <c r="BF29" i="39"/>
  <c r="CP28" i="39"/>
  <c r="Y37" i="39"/>
  <c r="BO36" i="39"/>
  <c r="S37" i="39"/>
  <c r="AC36" i="39" s="1"/>
  <c r="DY28" i="39"/>
  <c r="BD30" i="39"/>
  <c r="AC35" i="39"/>
  <c r="AT32" i="39"/>
  <c r="BB30" i="39"/>
  <c r="DV30" i="39" s="1"/>
  <c r="X37" i="39"/>
  <c r="AS32" i="39"/>
  <c r="AW31" i="39"/>
  <c r="AQ32" i="39"/>
  <c r="DK32" i="39" s="1"/>
  <c r="AP32" i="39"/>
  <c r="AV31" i="39"/>
  <c r="BX33" i="39"/>
  <c r="U36" i="39"/>
  <c r="T36" i="39"/>
  <c r="P37" i="39"/>
  <c r="AE35" i="39" l="1"/>
  <c r="CD32" i="39"/>
  <c r="DM32" i="39"/>
  <c r="CN30" i="39"/>
  <c r="DW30" i="39"/>
  <c r="CE32" i="39"/>
  <c r="DN32" i="39"/>
  <c r="CA32" i="39"/>
  <c r="DJ32" i="39"/>
  <c r="CK30" i="39"/>
  <c r="DT30" i="39"/>
  <c r="CL30" i="39"/>
  <c r="DU30" i="39"/>
  <c r="CJ30" i="39"/>
  <c r="DS30" i="39"/>
  <c r="BF30" i="39"/>
  <c r="CM30" i="39"/>
  <c r="CT37" i="39"/>
  <c r="BL37" i="39"/>
  <c r="DE35" i="39"/>
  <c r="BV35" i="39"/>
  <c r="AZ31" i="39"/>
  <c r="CB32" i="39"/>
  <c r="CV37" i="39"/>
  <c r="BN37" i="39"/>
  <c r="DB37" i="39"/>
  <c r="BS37" i="39"/>
  <c r="X38" i="39"/>
  <c r="CR39" i="39"/>
  <c r="BJ39" i="39"/>
  <c r="CS39" i="39"/>
  <c r="BK39" i="39"/>
  <c r="BT35" i="39"/>
  <c r="DC35" i="39"/>
  <c r="AA38" i="39"/>
  <c r="BM39" i="39"/>
  <c r="CU39" i="39"/>
  <c r="BA31" i="39"/>
  <c r="CC32" i="39"/>
  <c r="BU37" i="39"/>
  <c r="DD37" i="39"/>
  <c r="BR37" i="39"/>
  <c r="DA37" i="39"/>
  <c r="DG34" i="39"/>
  <c r="BX34" i="39"/>
  <c r="DY29" i="39"/>
  <c r="CP29" i="39"/>
  <c r="CG31" i="39"/>
  <c r="P38" i="39"/>
  <c r="U37" i="39"/>
  <c r="T37" i="39"/>
  <c r="DX30" i="39"/>
  <c r="CO30" i="39"/>
  <c r="DP31" i="39"/>
  <c r="AR33" i="39"/>
  <c r="DL33" i="39" s="1"/>
  <c r="BW36" i="39"/>
  <c r="AD35" i="39"/>
  <c r="BW35" i="39"/>
  <c r="BP36" i="39"/>
  <c r="AQ33" i="39"/>
  <c r="AW32" i="39"/>
  <c r="AP33" i="39"/>
  <c r="AV32" i="39"/>
  <c r="AS33" i="39"/>
  <c r="DM33" i="39" s="1"/>
  <c r="Y38" i="39"/>
  <c r="R38" i="39"/>
  <c r="AB36" i="39"/>
  <c r="AY31" i="39"/>
  <c r="DX31" i="39"/>
  <c r="CO31" i="39"/>
  <c r="AU33" i="39"/>
  <c r="BD32" i="39" s="1"/>
  <c r="CF32" i="39"/>
  <c r="DO32" i="39"/>
  <c r="AT33" i="39"/>
  <c r="DN33" i="39" s="1"/>
  <c r="CX36" i="39"/>
  <c r="Z36" i="39"/>
  <c r="BB31" i="39"/>
  <c r="BO37" i="39"/>
  <c r="S38" i="39"/>
  <c r="BC31" i="39"/>
  <c r="O40" i="39"/>
  <c r="Q40" i="39"/>
  <c r="N40" i="39"/>
  <c r="BE30" i="39"/>
  <c r="DG35" i="39" l="1"/>
  <c r="BX35" i="39"/>
  <c r="CB33" i="39"/>
  <c r="DK33" i="39"/>
  <c r="CJ31" i="39"/>
  <c r="DS31" i="39"/>
  <c r="CM31" i="39"/>
  <c r="DV31" i="39"/>
  <c r="CK31" i="39"/>
  <c r="DT31" i="39"/>
  <c r="CN31" i="39"/>
  <c r="DW31" i="39"/>
  <c r="CA33" i="39"/>
  <c r="DJ33" i="39"/>
  <c r="CL31" i="39"/>
  <c r="DU31" i="39"/>
  <c r="DC36" i="39"/>
  <c r="BT36" i="39"/>
  <c r="DE36" i="39"/>
  <c r="BV36" i="39"/>
  <c r="CV38" i="39"/>
  <c r="BN38" i="39"/>
  <c r="BU38" i="39"/>
  <c r="DD38" i="39"/>
  <c r="DB38" i="39"/>
  <c r="BS38" i="39"/>
  <c r="BA32" i="39"/>
  <c r="CC33" i="39"/>
  <c r="X39" i="39"/>
  <c r="CR40" i="39"/>
  <c r="BJ40" i="39"/>
  <c r="BC32" i="39"/>
  <c r="CE33" i="39"/>
  <c r="BB32" i="39"/>
  <c r="CD33" i="39"/>
  <c r="AA39" i="39"/>
  <c r="BM40" i="39"/>
  <c r="CU40" i="39"/>
  <c r="Y39" i="39"/>
  <c r="CS40" i="39"/>
  <c r="BK40" i="39"/>
  <c r="DA38" i="39"/>
  <c r="BR38" i="39"/>
  <c r="CT38" i="39"/>
  <c r="BL38" i="39"/>
  <c r="CX37" i="39"/>
  <c r="DY30" i="39"/>
  <c r="AD36" i="39"/>
  <c r="CP30" i="39"/>
  <c r="T38" i="39"/>
  <c r="P39" i="39"/>
  <c r="U38" i="39"/>
  <c r="Z37" i="39"/>
  <c r="AQ34" i="39"/>
  <c r="AZ33" i="39" s="1"/>
  <c r="AW33" i="39"/>
  <c r="AV33" i="39"/>
  <c r="AS34" i="39"/>
  <c r="AP34" i="39"/>
  <c r="DJ34" i="39" s="1"/>
  <c r="CG32" i="39"/>
  <c r="CO32" i="39"/>
  <c r="DX32" i="39"/>
  <c r="Q41" i="39"/>
  <c r="O41" i="39"/>
  <c r="N41" i="39"/>
  <c r="BF31" i="39"/>
  <c r="BE31" i="39"/>
  <c r="R39" i="39"/>
  <c r="DP32" i="39"/>
  <c r="AT34" i="39"/>
  <c r="BP37" i="39"/>
  <c r="AY32" i="39"/>
  <c r="AE36" i="39"/>
  <c r="AB37" i="39"/>
  <c r="AR34" i="39"/>
  <c r="CF33" i="39"/>
  <c r="DO33" i="39"/>
  <c r="AU34" i="39"/>
  <c r="AZ32" i="39"/>
  <c r="BO38" i="39"/>
  <c r="S39" i="39"/>
  <c r="AC37" i="39"/>
  <c r="CE34" i="39" l="1"/>
  <c r="DN34" i="39"/>
  <c r="CD34" i="39"/>
  <c r="DM34" i="39"/>
  <c r="CK32" i="39"/>
  <c r="DT32" i="39"/>
  <c r="CB34" i="39"/>
  <c r="DK34" i="39"/>
  <c r="CC34" i="39"/>
  <c r="DL34" i="39"/>
  <c r="CM32" i="39"/>
  <c r="DV32" i="39"/>
  <c r="CN32" i="39"/>
  <c r="DW32" i="39"/>
  <c r="CJ32" i="39"/>
  <c r="DS32" i="39"/>
  <c r="CK33" i="39"/>
  <c r="DT33" i="39"/>
  <c r="CL32" i="39"/>
  <c r="DU32" i="39"/>
  <c r="DB39" i="39"/>
  <c r="BS39" i="39"/>
  <c r="AB38" i="39"/>
  <c r="CV39" i="39"/>
  <c r="BN39" i="39"/>
  <c r="AY33" i="39"/>
  <c r="CA34" i="39"/>
  <c r="BU39" i="39"/>
  <c r="DD39" i="39"/>
  <c r="BV37" i="39"/>
  <c r="DE37" i="39"/>
  <c r="X40" i="39"/>
  <c r="BJ41" i="39"/>
  <c r="CR41" i="39"/>
  <c r="CS41" i="39"/>
  <c r="BK41" i="39"/>
  <c r="CU41" i="39"/>
  <c r="BM41" i="39"/>
  <c r="DC37" i="39"/>
  <c r="BT37" i="39"/>
  <c r="DA39" i="39"/>
  <c r="BR39" i="39"/>
  <c r="Z38" i="39"/>
  <c r="CT39" i="39"/>
  <c r="BL39" i="39"/>
  <c r="CG33" i="39"/>
  <c r="BP38" i="39"/>
  <c r="AR35" i="39"/>
  <c r="CP31" i="39"/>
  <c r="DP33" i="39"/>
  <c r="S40" i="39"/>
  <c r="AC39" i="39" s="1"/>
  <c r="BO39" i="39"/>
  <c r="CX38" i="39"/>
  <c r="BE32" i="39"/>
  <c r="BF32" i="39"/>
  <c r="AA40" i="39"/>
  <c r="AT35" i="39"/>
  <c r="DO34" i="39"/>
  <c r="CF34" i="39"/>
  <c r="AU35" i="39"/>
  <c r="BD34" i="39" s="1"/>
  <c r="BB33" i="39"/>
  <c r="AC38" i="39"/>
  <c r="DY31" i="39"/>
  <c r="Y40" i="39"/>
  <c r="AE37" i="39"/>
  <c r="BD33" i="39"/>
  <c r="BA33" i="39"/>
  <c r="BC33" i="39"/>
  <c r="BW37" i="39"/>
  <c r="AD37" i="39"/>
  <c r="BX36" i="39"/>
  <c r="DG36" i="39"/>
  <c r="R40" i="39"/>
  <c r="Q42" i="39"/>
  <c r="N42" i="39"/>
  <c r="O42" i="39"/>
  <c r="AV34" i="39"/>
  <c r="AW34" i="39"/>
  <c r="AS35" i="39"/>
  <c r="DM35" i="39" s="1"/>
  <c r="AQ35" i="39"/>
  <c r="DK35" i="39" s="1"/>
  <c r="AP35" i="39"/>
  <c r="U39" i="39"/>
  <c r="T39" i="39"/>
  <c r="P40" i="39"/>
  <c r="AE38" i="39" l="1"/>
  <c r="CE35" i="39"/>
  <c r="DN35" i="39"/>
  <c r="CA35" i="39"/>
  <c r="DJ35" i="39"/>
  <c r="CN33" i="39"/>
  <c r="DW33" i="39"/>
  <c r="CL33" i="39"/>
  <c r="DU33" i="39"/>
  <c r="CJ33" i="39"/>
  <c r="DS33" i="39"/>
  <c r="CC35" i="39"/>
  <c r="DL35" i="39"/>
  <c r="CM33" i="39"/>
  <c r="DV33" i="39"/>
  <c r="DA40" i="39"/>
  <c r="BR40" i="39"/>
  <c r="AZ34" i="39"/>
  <c r="CB35" i="39"/>
  <c r="BB34" i="39"/>
  <c r="CD35" i="39"/>
  <c r="Y41" i="39"/>
  <c r="CS42" i="39"/>
  <c r="BK42" i="39"/>
  <c r="DB40" i="39"/>
  <c r="BS40" i="39"/>
  <c r="BU40" i="39"/>
  <c r="DD40" i="39"/>
  <c r="X41" i="39"/>
  <c r="BJ42" i="39"/>
  <c r="CR42" i="39"/>
  <c r="BM42" i="39"/>
  <c r="CU42" i="39"/>
  <c r="Z39" i="39"/>
  <c r="CT40" i="39"/>
  <c r="BL40" i="39"/>
  <c r="CV40" i="39"/>
  <c r="BN40" i="39"/>
  <c r="BV38" i="39"/>
  <c r="DE38" i="39"/>
  <c r="BT38" i="39"/>
  <c r="DC38" i="39"/>
  <c r="CG34" i="39"/>
  <c r="CP32" i="39"/>
  <c r="DY32" i="39"/>
  <c r="AR36" i="39"/>
  <c r="DL36" i="39" s="1"/>
  <c r="R41" i="39"/>
  <c r="BX37" i="39"/>
  <c r="AW35" i="39"/>
  <c r="AV35" i="39"/>
  <c r="AS36" i="39"/>
  <c r="DM36" i="39" s="1"/>
  <c r="AQ36" i="39"/>
  <c r="AP36" i="39"/>
  <c r="DJ36" i="39" s="1"/>
  <c r="DX34" i="39"/>
  <c r="CO34" i="39"/>
  <c r="T40" i="39"/>
  <c r="U40" i="39"/>
  <c r="P41" i="39"/>
  <c r="AD38" i="39"/>
  <c r="BW38" i="39"/>
  <c r="AT36" i="39"/>
  <c r="DN36" i="39" s="1"/>
  <c r="BA34" i="39"/>
  <c r="DP34" i="39"/>
  <c r="DX33" i="39"/>
  <c r="CO33" i="39"/>
  <c r="BW39" i="39"/>
  <c r="S41" i="39"/>
  <c r="BO40" i="39"/>
  <c r="DG37" i="39"/>
  <c r="AB39" i="39"/>
  <c r="AY34" i="39"/>
  <c r="BF33" i="39"/>
  <c r="AA41" i="39"/>
  <c r="BC34" i="39"/>
  <c r="CX39" i="39"/>
  <c r="N43" i="39"/>
  <c r="Q43" i="39"/>
  <c r="O43" i="39"/>
  <c r="BE33" i="39"/>
  <c r="BP39" i="39"/>
  <c r="CF35" i="39"/>
  <c r="DO35" i="39"/>
  <c r="AU36" i="39"/>
  <c r="CJ34" i="39" l="1"/>
  <c r="DS34" i="39"/>
  <c r="CM34" i="39"/>
  <c r="DV34" i="39"/>
  <c r="CK34" i="39"/>
  <c r="DT34" i="39"/>
  <c r="CB36" i="39"/>
  <c r="DK36" i="39"/>
  <c r="CN34" i="39"/>
  <c r="DW34" i="39"/>
  <c r="CL34" i="39"/>
  <c r="DU34" i="39"/>
  <c r="DG38" i="39"/>
  <c r="BU41" i="39"/>
  <c r="DD41" i="39"/>
  <c r="BC35" i="39"/>
  <c r="CE36" i="39"/>
  <c r="BB35" i="39"/>
  <c r="CD36" i="39"/>
  <c r="BT39" i="39"/>
  <c r="DC39" i="39"/>
  <c r="DB41" i="39"/>
  <c r="BS41" i="39"/>
  <c r="AD39" i="39"/>
  <c r="BV39" i="39"/>
  <c r="DE39" i="39"/>
  <c r="BX38" i="39"/>
  <c r="BK43" i="39"/>
  <c r="CS43" i="39"/>
  <c r="CU43" i="39"/>
  <c r="BM43" i="39"/>
  <c r="CT41" i="39"/>
  <c r="BL41" i="39"/>
  <c r="DA41" i="39"/>
  <c r="BR41" i="39"/>
  <c r="BN41" i="39"/>
  <c r="CV41" i="39"/>
  <c r="BA35" i="39"/>
  <c r="CC36" i="39"/>
  <c r="AY35" i="39"/>
  <c r="CA36" i="39"/>
  <c r="X42" i="39"/>
  <c r="BJ43" i="39"/>
  <c r="CR43" i="39"/>
  <c r="AE39" i="39"/>
  <c r="CP33" i="39"/>
  <c r="DY33" i="39"/>
  <c r="R42" i="39"/>
  <c r="AR37" i="39"/>
  <c r="DL37" i="39" s="1"/>
  <c r="DO36" i="39"/>
  <c r="CF36" i="39"/>
  <c r="AU37" i="39"/>
  <c r="BD36" i="39" s="1"/>
  <c r="P42" i="39"/>
  <c r="U41" i="39"/>
  <c r="T41" i="39"/>
  <c r="AB40" i="39"/>
  <c r="BO41" i="39"/>
  <c r="S42" i="39"/>
  <c r="AC41" i="39" s="1"/>
  <c r="BP40" i="39"/>
  <c r="AZ35" i="39"/>
  <c r="AT37" i="39"/>
  <c r="DN37" i="39" s="1"/>
  <c r="Z40" i="39"/>
  <c r="AC40" i="39"/>
  <c r="AP37" i="39"/>
  <c r="AQ37" i="39"/>
  <c r="DK37" i="39" s="1"/>
  <c r="AV36" i="39"/>
  <c r="AS37" i="39"/>
  <c r="AW36" i="39"/>
  <c r="N44" i="39"/>
  <c r="O44" i="39"/>
  <c r="Q44" i="39"/>
  <c r="BD35" i="39"/>
  <c r="DP35" i="39"/>
  <c r="CG35" i="39"/>
  <c r="BE34" i="39"/>
  <c r="BF34" i="39"/>
  <c r="Y42" i="39"/>
  <c r="AA42" i="39"/>
  <c r="CX40" i="39"/>
  <c r="BX39" i="39" l="1"/>
  <c r="DG39" i="39"/>
  <c r="CM35" i="39"/>
  <c r="DV35" i="39"/>
  <c r="CD37" i="39"/>
  <c r="DM37" i="39"/>
  <c r="CA37" i="39"/>
  <c r="DJ37" i="39"/>
  <c r="CJ35" i="39"/>
  <c r="DS35" i="39"/>
  <c r="CN35" i="39"/>
  <c r="DW35" i="39"/>
  <c r="CL35" i="39"/>
  <c r="DU35" i="39"/>
  <c r="CK35" i="39"/>
  <c r="DT35" i="39"/>
  <c r="AB41" i="39"/>
  <c r="CV42" i="39"/>
  <c r="BN42" i="39"/>
  <c r="DE40" i="39"/>
  <c r="BV40" i="39"/>
  <c r="BT40" i="39"/>
  <c r="DC40" i="39"/>
  <c r="AA43" i="39"/>
  <c r="CU44" i="39"/>
  <c r="BM44" i="39"/>
  <c r="Y43" i="39"/>
  <c r="BK44" i="39"/>
  <c r="CS44" i="39"/>
  <c r="BC36" i="39"/>
  <c r="CE37" i="39"/>
  <c r="Z41" i="39"/>
  <c r="CT42" i="39"/>
  <c r="BL42" i="39"/>
  <c r="BJ44" i="39"/>
  <c r="CR44" i="39"/>
  <c r="BR42" i="39"/>
  <c r="DA42" i="39"/>
  <c r="BU42" i="39"/>
  <c r="DD42" i="39"/>
  <c r="DB42" i="39"/>
  <c r="BS42" i="39"/>
  <c r="AZ36" i="39"/>
  <c r="CB37" i="39"/>
  <c r="BA36" i="39"/>
  <c r="CC37" i="39"/>
  <c r="BE35" i="39"/>
  <c r="CX41" i="39"/>
  <c r="BF35" i="39"/>
  <c r="DY34" i="39"/>
  <c r="Q45" i="39"/>
  <c r="N45" i="39"/>
  <c r="O45" i="39"/>
  <c r="BP41" i="39"/>
  <c r="X43" i="39"/>
  <c r="DX36" i="39"/>
  <c r="CO36" i="39"/>
  <c r="AU38" i="39"/>
  <c r="BD37" i="39" s="1"/>
  <c r="DO37" i="39"/>
  <c r="CF37" i="39"/>
  <c r="AE40" i="39"/>
  <c r="CG36" i="39"/>
  <c r="BO42" i="39"/>
  <c r="S43" i="39"/>
  <c r="CO35" i="39"/>
  <c r="DX35" i="39"/>
  <c r="AD40" i="39"/>
  <c r="BW40" i="39"/>
  <c r="AT38" i="39"/>
  <c r="DN38" i="39" s="1"/>
  <c r="BW41" i="39"/>
  <c r="AR38" i="39"/>
  <c r="DL38" i="39" s="1"/>
  <c r="AW37" i="39"/>
  <c r="AV37" i="39"/>
  <c r="AS38" i="39"/>
  <c r="DM38" i="39" s="1"/>
  <c r="AQ38" i="39"/>
  <c r="DK38" i="39" s="1"/>
  <c r="AP38" i="39"/>
  <c r="DJ38" i="39" s="1"/>
  <c r="BB36" i="39"/>
  <c r="AY36" i="39"/>
  <c r="CP34" i="39"/>
  <c r="DP36" i="39"/>
  <c r="P43" i="39"/>
  <c r="U42" i="39"/>
  <c r="T42" i="39"/>
  <c r="R43" i="39"/>
  <c r="AD41" i="39" l="1"/>
  <c r="CL36" i="39"/>
  <c r="DU36" i="39"/>
  <c r="CJ36" i="39"/>
  <c r="DS36" i="39"/>
  <c r="CK36" i="39"/>
  <c r="DT36" i="39"/>
  <c r="CM36" i="39"/>
  <c r="DV36" i="39"/>
  <c r="CN36" i="39"/>
  <c r="DW36" i="39"/>
  <c r="AA44" i="39"/>
  <c r="CU45" i="39"/>
  <c r="BM45" i="39"/>
  <c r="DB43" i="39"/>
  <c r="BS43" i="39"/>
  <c r="BC37" i="39"/>
  <c r="CE38" i="39"/>
  <c r="AY37" i="39"/>
  <c r="CA38" i="39"/>
  <c r="BU43" i="39"/>
  <c r="DD43" i="39"/>
  <c r="CV43" i="39"/>
  <c r="BN43" i="39"/>
  <c r="AZ37" i="39"/>
  <c r="CB38" i="39"/>
  <c r="BB37" i="39"/>
  <c r="CD38" i="39"/>
  <c r="CT43" i="39"/>
  <c r="BL43" i="39"/>
  <c r="BR43" i="39"/>
  <c r="DA43" i="39"/>
  <c r="BT41" i="39"/>
  <c r="DC41" i="39"/>
  <c r="BA37" i="39"/>
  <c r="CC38" i="39"/>
  <c r="AE41" i="39"/>
  <c r="CS45" i="39"/>
  <c r="BK45" i="39"/>
  <c r="X44" i="39"/>
  <c r="BJ45" i="39"/>
  <c r="CR45" i="39"/>
  <c r="DE41" i="39"/>
  <c r="BV41" i="39"/>
  <c r="DG40" i="39"/>
  <c r="CX42" i="39"/>
  <c r="DY35" i="39"/>
  <c r="CP35" i="39"/>
  <c r="BP42" i="39"/>
  <c r="CO37" i="39"/>
  <c r="DX37" i="39"/>
  <c r="U43" i="39"/>
  <c r="T43" i="39"/>
  <c r="P44" i="39"/>
  <c r="Z42" i="39"/>
  <c r="O46" i="39"/>
  <c r="N46" i="39"/>
  <c r="Q46" i="39"/>
  <c r="BF36" i="39"/>
  <c r="BE36" i="39"/>
  <c r="BX40" i="39"/>
  <c r="AQ39" i="39"/>
  <c r="DK39" i="39" s="1"/>
  <c r="AV38" i="39"/>
  <c r="AW38" i="39"/>
  <c r="AS39" i="39"/>
  <c r="DM39" i="39" s="1"/>
  <c r="AP39" i="39"/>
  <c r="DJ39" i="39" s="1"/>
  <c r="CG37" i="39"/>
  <c r="R44" i="39"/>
  <c r="AB42" i="39"/>
  <c r="Y44" i="39"/>
  <c r="DP37" i="39"/>
  <c r="AU39" i="39"/>
  <c r="BD38" i="39" s="1"/>
  <c r="CF38" i="39"/>
  <c r="DO38" i="39"/>
  <c r="BO43" i="39"/>
  <c r="S44" i="39"/>
  <c r="AR39" i="39"/>
  <c r="DL39" i="39" s="1"/>
  <c r="AT39" i="39"/>
  <c r="AC42" i="39"/>
  <c r="DG41" i="39" l="1"/>
  <c r="BX41" i="39"/>
  <c r="CK37" i="39"/>
  <c r="DT37" i="39"/>
  <c r="CE39" i="39"/>
  <c r="DN39" i="39"/>
  <c r="CN37" i="39"/>
  <c r="DW37" i="39"/>
  <c r="BF37" i="39"/>
  <c r="CL37" i="39"/>
  <c r="DU37" i="39"/>
  <c r="CM37" i="39"/>
  <c r="DV37" i="39"/>
  <c r="CJ37" i="39"/>
  <c r="DS37" i="39"/>
  <c r="AY38" i="39"/>
  <c r="CA39" i="39"/>
  <c r="BM46" i="39"/>
  <c r="CU46" i="39"/>
  <c r="BB38" i="39"/>
  <c r="CD39" i="39"/>
  <c r="X45" i="39"/>
  <c r="BJ46" i="39"/>
  <c r="CR46" i="39"/>
  <c r="BA38" i="39"/>
  <c r="CC39" i="39"/>
  <c r="BS44" i="39"/>
  <c r="DB44" i="39"/>
  <c r="AZ38" i="39"/>
  <c r="CB39" i="39"/>
  <c r="DC42" i="39"/>
  <c r="BT42" i="39"/>
  <c r="DE42" i="39"/>
  <c r="BV42" i="39"/>
  <c r="Z43" i="39"/>
  <c r="CT44" i="39"/>
  <c r="BL44" i="39"/>
  <c r="AB43" i="39"/>
  <c r="BN44" i="39"/>
  <c r="CV44" i="39"/>
  <c r="BR44" i="39"/>
  <c r="DA44" i="39"/>
  <c r="BE37" i="39"/>
  <c r="Y45" i="39"/>
  <c r="BK46" i="39"/>
  <c r="CS46" i="39"/>
  <c r="DD44" i="39"/>
  <c r="BU44" i="39"/>
  <c r="CP36" i="39"/>
  <c r="DY36" i="39"/>
  <c r="CG38" i="39"/>
  <c r="BO44" i="39"/>
  <c r="S45" i="39"/>
  <c r="AC44" i="39" s="1"/>
  <c r="AQ40" i="39"/>
  <c r="AW39" i="39"/>
  <c r="AS40" i="39"/>
  <c r="AP40" i="39"/>
  <c r="AV39" i="39"/>
  <c r="BP43" i="39"/>
  <c r="BW42" i="39"/>
  <c r="AD42" i="39"/>
  <c r="CX43" i="39"/>
  <c r="BC38" i="39"/>
  <c r="DW38" i="39" s="1"/>
  <c r="AE42" i="39"/>
  <c r="DX38" i="39"/>
  <c r="CO38" i="39"/>
  <c r="DO39" i="39"/>
  <c r="CF39" i="39"/>
  <c r="AU40" i="39"/>
  <c r="BD39" i="39" s="1"/>
  <c r="R45" i="39"/>
  <c r="AA45" i="39"/>
  <c r="U44" i="39"/>
  <c r="P45" i="39"/>
  <c r="T44" i="39"/>
  <c r="N47" i="39"/>
  <c r="O47" i="39"/>
  <c r="Q47" i="39"/>
  <c r="AT40" i="39"/>
  <c r="DN40" i="39" s="1"/>
  <c r="DP38" i="39"/>
  <c r="AC43" i="39"/>
  <c r="AR40" i="39"/>
  <c r="CP37" i="39" l="1"/>
  <c r="DY37" i="39"/>
  <c r="CC40" i="39"/>
  <c r="DL40" i="39"/>
  <c r="CB40" i="39"/>
  <c r="DK40" i="39"/>
  <c r="CL38" i="39"/>
  <c r="DU38" i="39"/>
  <c r="AE43" i="39"/>
  <c r="CM38" i="39"/>
  <c r="DV38" i="39"/>
  <c r="CD40" i="39"/>
  <c r="DM40" i="39"/>
  <c r="CK38" i="39"/>
  <c r="DT38" i="39"/>
  <c r="CJ38" i="39"/>
  <c r="DS38" i="39"/>
  <c r="CA40" i="39"/>
  <c r="DJ40" i="39"/>
  <c r="DE43" i="39"/>
  <c r="BV43" i="39"/>
  <c r="X46" i="39"/>
  <c r="CR47" i="39"/>
  <c r="BJ47" i="39"/>
  <c r="BC39" i="39"/>
  <c r="CE40" i="39"/>
  <c r="AB44" i="39"/>
  <c r="CV45" i="39"/>
  <c r="BN45" i="39"/>
  <c r="AA46" i="39"/>
  <c r="CU47" i="39"/>
  <c r="BM47" i="39"/>
  <c r="CS47" i="39"/>
  <c r="BK47" i="39"/>
  <c r="DC43" i="39"/>
  <c r="BT43" i="39"/>
  <c r="BL45" i="39"/>
  <c r="CT45" i="39"/>
  <c r="DA45" i="39"/>
  <c r="BR45" i="39"/>
  <c r="BF38" i="39"/>
  <c r="CN38" i="39"/>
  <c r="BS45" i="39"/>
  <c r="DB45" i="39"/>
  <c r="DD45" i="39"/>
  <c r="BU45" i="39"/>
  <c r="BE38" i="39"/>
  <c r="CG39" i="39"/>
  <c r="CX44" i="39"/>
  <c r="DX39" i="39"/>
  <c r="CO39" i="39"/>
  <c r="P46" i="39"/>
  <c r="T45" i="39"/>
  <c r="U45" i="39"/>
  <c r="BP44" i="39"/>
  <c r="AT41" i="39"/>
  <c r="R46" i="39"/>
  <c r="BW44" i="39"/>
  <c r="BW43" i="39"/>
  <c r="AD43" i="39"/>
  <c r="AR41" i="39"/>
  <c r="DL41" i="39" s="1"/>
  <c r="BX42" i="39"/>
  <c r="CF40" i="39"/>
  <c r="DO40" i="39"/>
  <c r="AU41" i="39"/>
  <c r="BD40" i="39" s="1"/>
  <c r="AV40" i="39"/>
  <c r="AW40" i="39"/>
  <c r="AS41" i="39"/>
  <c r="AQ41" i="39"/>
  <c r="AP41" i="39"/>
  <c r="DJ41" i="39" s="1"/>
  <c r="Z44" i="39"/>
  <c r="DG42" i="39"/>
  <c r="BB39" i="39"/>
  <c r="BA39" i="39"/>
  <c r="AY39" i="39"/>
  <c r="Q48" i="39"/>
  <c r="N48" i="39"/>
  <c r="O48" i="39"/>
  <c r="AZ39" i="39"/>
  <c r="Y46" i="39"/>
  <c r="DP39" i="39"/>
  <c r="BO45" i="39"/>
  <c r="S46" i="39"/>
  <c r="CL39" i="39" l="1"/>
  <c r="DU39" i="39"/>
  <c r="BX43" i="39"/>
  <c r="CM39" i="39"/>
  <c r="DV39" i="39"/>
  <c r="CN39" i="39"/>
  <c r="DW39" i="39"/>
  <c r="CB41" i="39"/>
  <c r="DK41" i="39"/>
  <c r="CD41" i="39"/>
  <c r="DM41" i="39"/>
  <c r="CE41" i="39"/>
  <c r="DN41" i="39"/>
  <c r="DG43" i="39"/>
  <c r="CK39" i="39"/>
  <c r="DT39" i="39"/>
  <c r="CP38" i="39"/>
  <c r="CJ39" i="39"/>
  <c r="DS39" i="39"/>
  <c r="BS46" i="39"/>
  <c r="DB46" i="39"/>
  <c r="AY40" i="39"/>
  <c r="CA41" i="39"/>
  <c r="BA40" i="39"/>
  <c r="CC41" i="39"/>
  <c r="DD46" i="39"/>
  <c r="BU46" i="39"/>
  <c r="Y47" i="39"/>
  <c r="CS48" i="39"/>
  <c r="BK48" i="39"/>
  <c r="CR48" i="39"/>
  <c r="BJ48" i="39"/>
  <c r="DE44" i="39"/>
  <c r="BV44" i="39"/>
  <c r="CU48" i="39"/>
  <c r="BM48" i="39"/>
  <c r="CV46" i="39"/>
  <c r="BN46" i="39"/>
  <c r="DY38" i="39"/>
  <c r="DA46" i="39"/>
  <c r="BR46" i="39"/>
  <c r="AD44" i="39"/>
  <c r="DC44" i="39"/>
  <c r="BT44" i="39"/>
  <c r="Z45" i="39"/>
  <c r="BL46" i="39"/>
  <c r="CT46" i="39"/>
  <c r="CX45" i="39"/>
  <c r="CO40" i="39"/>
  <c r="DX40" i="39"/>
  <c r="X48" i="39"/>
  <c r="X47" i="39"/>
  <c r="AA48" i="39"/>
  <c r="DP40" i="39"/>
  <c r="BO46" i="39"/>
  <c r="S47" i="39"/>
  <c r="CF41" i="39"/>
  <c r="AU42" i="39"/>
  <c r="BD41" i="39" s="1"/>
  <c r="DO41" i="39"/>
  <c r="AQ42" i="39"/>
  <c r="DK42" i="39" s="1"/>
  <c r="AS42" i="39"/>
  <c r="DM42" i="39" s="1"/>
  <c r="AV41" i="39"/>
  <c r="AW41" i="39"/>
  <c r="AP42" i="39"/>
  <c r="DJ42" i="39" s="1"/>
  <c r="BF39" i="39"/>
  <c r="BE39" i="39"/>
  <c r="BC40" i="39"/>
  <c r="R47" i="39"/>
  <c r="T46" i="39"/>
  <c r="U46" i="39"/>
  <c r="P47" i="39"/>
  <c r="Y48" i="39"/>
  <c r="AE44" i="39"/>
  <c r="AR42" i="39"/>
  <c r="DL42" i="39" s="1"/>
  <c r="AC45" i="39"/>
  <c r="AT42" i="39"/>
  <c r="BB40" i="39"/>
  <c r="CG40" i="39"/>
  <c r="AZ40" i="39"/>
  <c r="AA47" i="39"/>
  <c r="AB45" i="39"/>
  <c r="BP45" i="39"/>
  <c r="DG44" i="39" l="1"/>
  <c r="BX44" i="39"/>
  <c r="CJ40" i="39"/>
  <c r="DS40" i="39"/>
  <c r="CK40" i="39"/>
  <c r="DT40" i="39"/>
  <c r="CN40" i="39"/>
  <c r="DW40" i="39"/>
  <c r="CL40" i="39"/>
  <c r="DU40" i="39"/>
  <c r="CM40" i="39"/>
  <c r="DV40" i="39"/>
  <c r="CE42" i="39"/>
  <c r="DN42" i="39"/>
  <c r="DD48" i="39"/>
  <c r="BU48" i="39"/>
  <c r="BS48" i="39"/>
  <c r="DB48" i="39"/>
  <c r="DA47" i="39"/>
  <c r="BR47" i="39"/>
  <c r="Z46" i="39"/>
  <c r="BL47" i="39"/>
  <c r="CT47" i="39"/>
  <c r="BB41" i="39"/>
  <c r="CD42" i="39"/>
  <c r="BR48" i="39"/>
  <c r="DA48" i="39"/>
  <c r="AZ41" i="39"/>
  <c r="CB42" i="39"/>
  <c r="BS47" i="39"/>
  <c r="DB47" i="39"/>
  <c r="CV47" i="39"/>
  <c r="BN47" i="39"/>
  <c r="BA41" i="39"/>
  <c r="CC42" i="39"/>
  <c r="AE45" i="39"/>
  <c r="DE45" i="39"/>
  <c r="BV45" i="39"/>
  <c r="DC45" i="39"/>
  <c r="BT45" i="39"/>
  <c r="DD47" i="39"/>
  <c r="BU47" i="39"/>
  <c r="AY41" i="39"/>
  <c r="CA42" i="39"/>
  <c r="CX46" i="39"/>
  <c r="BP46" i="39"/>
  <c r="BO47" i="39"/>
  <c r="S48" i="39"/>
  <c r="AC47" i="39" s="1"/>
  <c r="AC46" i="39"/>
  <c r="DX41" i="39"/>
  <c r="CO41" i="39"/>
  <c r="CP39" i="39"/>
  <c r="DP41" i="39"/>
  <c r="T47" i="39"/>
  <c r="P48" i="39"/>
  <c r="U47" i="39"/>
  <c r="AS43" i="39"/>
  <c r="DM43" i="39" s="1"/>
  <c r="AQ43" i="39"/>
  <c r="AP43" i="39"/>
  <c r="DJ43" i="39" s="1"/>
  <c r="AV42" i="39"/>
  <c r="AW42" i="39"/>
  <c r="DY39" i="39"/>
  <c r="R48" i="39"/>
  <c r="AB46" i="39"/>
  <c r="BC41" i="39"/>
  <c r="DW41" i="39" s="1"/>
  <c r="AT43" i="39"/>
  <c r="DN43" i="39" s="1"/>
  <c r="BF40" i="39"/>
  <c r="BW45" i="39"/>
  <c r="AD45" i="39"/>
  <c r="CG41" i="39"/>
  <c r="CF42" i="39"/>
  <c r="DO42" i="39"/>
  <c r="AU43" i="39"/>
  <c r="BE40" i="39"/>
  <c r="AR43" i="39"/>
  <c r="DL43" i="39" s="1"/>
  <c r="CM41" i="39" l="1"/>
  <c r="DV41" i="39"/>
  <c r="CB43" i="39"/>
  <c r="DK43" i="39"/>
  <c r="CL41" i="39"/>
  <c r="DU41" i="39"/>
  <c r="CK41" i="39"/>
  <c r="DT41" i="39"/>
  <c r="CJ41" i="39"/>
  <c r="DS41" i="39"/>
  <c r="DG45" i="39"/>
  <c r="BC42" i="39"/>
  <c r="CE43" i="39"/>
  <c r="AY42" i="39"/>
  <c r="CA43" i="39"/>
  <c r="BF41" i="39"/>
  <c r="CN41" i="39"/>
  <c r="AE46" i="39"/>
  <c r="BV46" i="39"/>
  <c r="DE46" i="39"/>
  <c r="BB42" i="39"/>
  <c r="CD43" i="39"/>
  <c r="BL48" i="39"/>
  <c r="CT48" i="39"/>
  <c r="AB47" i="39"/>
  <c r="CV48" i="39"/>
  <c r="BN48" i="39"/>
  <c r="DC46" i="39"/>
  <c r="BT46" i="39"/>
  <c r="BA42" i="39"/>
  <c r="CC43" i="39"/>
  <c r="CX47" i="39"/>
  <c r="BP47" i="39"/>
  <c r="DY40" i="39"/>
  <c r="CP40" i="39"/>
  <c r="BX45" i="39"/>
  <c r="DP42" i="39"/>
  <c r="AR44" i="39"/>
  <c r="DL44" i="39" s="1"/>
  <c r="CF43" i="39"/>
  <c r="DO43" i="39"/>
  <c r="AU44" i="39"/>
  <c r="BD43" i="39" s="1"/>
  <c r="AT44" i="39"/>
  <c r="DN44" i="39" s="1"/>
  <c r="BD42" i="39"/>
  <c r="CG42" i="39"/>
  <c r="BW46" i="39"/>
  <c r="AD46" i="39"/>
  <c r="BW47" i="39"/>
  <c r="AV43" i="39"/>
  <c r="AW43" i="39"/>
  <c r="AS44" i="39"/>
  <c r="AQ44" i="39"/>
  <c r="AP44" i="39"/>
  <c r="AB48" i="39"/>
  <c r="Z48" i="39"/>
  <c r="U48" i="39"/>
  <c r="U49" i="39" s="1"/>
  <c r="T48" i="39"/>
  <c r="BE41" i="39"/>
  <c r="AC48" i="39"/>
  <c r="BO48" i="39"/>
  <c r="AZ42" i="39"/>
  <c r="DT42" i="39" s="1"/>
  <c r="Z47" i="39"/>
  <c r="CM42" i="39" l="1"/>
  <c r="DV42" i="39"/>
  <c r="CL42" i="39"/>
  <c r="DU42" i="39"/>
  <c r="CN42" i="39"/>
  <c r="DW42" i="39"/>
  <c r="CA44" i="39"/>
  <c r="DJ44" i="39"/>
  <c r="CD44" i="39"/>
  <c r="DM44" i="39"/>
  <c r="CP41" i="39"/>
  <c r="CB44" i="39"/>
  <c r="DK44" i="39"/>
  <c r="CJ42" i="39"/>
  <c r="DS42" i="39"/>
  <c r="DY41" i="39"/>
  <c r="DG46" i="39"/>
  <c r="BA43" i="39"/>
  <c r="CC44" i="39"/>
  <c r="DE47" i="39"/>
  <c r="BV47" i="39"/>
  <c r="BC43" i="39"/>
  <c r="CE44" i="39"/>
  <c r="DC48" i="39"/>
  <c r="BT48" i="39"/>
  <c r="DE48" i="39"/>
  <c r="BV48" i="39"/>
  <c r="BT47" i="39"/>
  <c r="DC47" i="39"/>
  <c r="BF42" i="39"/>
  <c r="CK42" i="39"/>
  <c r="BX46" i="39"/>
  <c r="BP48" i="39"/>
  <c r="AR45" i="39"/>
  <c r="DL45" i="39" s="1"/>
  <c r="BW48" i="39"/>
  <c r="AD48" i="39"/>
  <c r="AE48" i="39"/>
  <c r="AS45" i="39"/>
  <c r="DM45" i="39" s="1"/>
  <c r="AQ45" i="39"/>
  <c r="AW44" i="39"/>
  <c r="AP45" i="39"/>
  <c r="DJ45" i="39" s="1"/>
  <c r="AV44" i="39"/>
  <c r="AE47" i="39"/>
  <c r="CG43" i="39"/>
  <c r="DX42" i="39"/>
  <c r="CO42" i="39"/>
  <c r="DX43" i="39"/>
  <c r="CO43" i="39"/>
  <c r="DO44" i="39"/>
  <c r="CF44" i="39"/>
  <c r="AU45" i="39"/>
  <c r="BD44" i="39" s="1"/>
  <c r="AY43" i="39"/>
  <c r="AT45" i="39"/>
  <c r="BE42" i="39"/>
  <c r="AZ43" i="39"/>
  <c r="DP43" i="39"/>
  <c r="AD47" i="39"/>
  <c r="BB43" i="39"/>
  <c r="CX48" i="39"/>
  <c r="BX47" i="39" l="1"/>
  <c r="DG47" i="39"/>
  <c r="CM43" i="39"/>
  <c r="DV43" i="39"/>
  <c r="CE45" i="39"/>
  <c r="DN45" i="39"/>
  <c r="CJ43" i="39"/>
  <c r="DS43" i="39"/>
  <c r="CL43" i="39"/>
  <c r="DU43" i="39"/>
  <c r="CK43" i="39"/>
  <c r="DT43" i="39"/>
  <c r="CN43" i="39"/>
  <c r="DW43" i="39"/>
  <c r="CB45" i="39"/>
  <c r="DK45" i="39"/>
  <c r="BA44" i="39"/>
  <c r="CC45" i="39"/>
  <c r="AY44" i="39"/>
  <c r="CA45" i="39"/>
  <c r="BB44" i="39"/>
  <c r="CD45" i="39"/>
  <c r="DG48" i="39"/>
  <c r="BX48" i="39"/>
  <c r="CP42" i="39"/>
  <c r="DY42" i="39"/>
  <c r="DX44" i="39"/>
  <c r="CO44" i="39"/>
  <c r="AR46" i="39"/>
  <c r="AU46" i="39"/>
  <c r="BD45" i="39" s="1"/>
  <c r="DO45" i="39"/>
  <c r="CF45" i="39"/>
  <c r="AQ46" i="39"/>
  <c r="AV45" i="39"/>
  <c r="AP46" i="39"/>
  <c r="DJ46" i="39" s="1"/>
  <c r="AW45" i="39"/>
  <c r="AS46" i="39"/>
  <c r="DM46" i="39" s="1"/>
  <c r="AT46" i="39"/>
  <c r="AZ44" i="39"/>
  <c r="BC44" i="39"/>
  <c r="DP44" i="39"/>
  <c r="CG44" i="39"/>
  <c r="BF43" i="39"/>
  <c r="BE43" i="39"/>
  <c r="AE49" i="39"/>
  <c r="I4" i="36" s="1"/>
  <c r="CB46" i="39" l="1"/>
  <c r="DK46" i="39"/>
  <c r="CM44" i="39"/>
  <c r="DV44" i="39"/>
  <c r="CJ44" i="39"/>
  <c r="DS44" i="39"/>
  <c r="CC46" i="39"/>
  <c r="DL46" i="39"/>
  <c r="CL44" i="39"/>
  <c r="DU44" i="39"/>
  <c r="CN44" i="39"/>
  <c r="DW44" i="39"/>
  <c r="CE46" i="39"/>
  <c r="DN46" i="39"/>
  <c r="CK44" i="39"/>
  <c r="DT44" i="39"/>
  <c r="BB45" i="39"/>
  <c r="CD46" i="39"/>
  <c r="AY45" i="39"/>
  <c r="CA46" i="39"/>
  <c r="DY43" i="39"/>
  <c r="CP43" i="39"/>
  <c r="CG45" i="39"/>
  <c r="CO45" i="39"/>
  <c r="DX45" i="39"/>
  <c r="DP45" i="39"/>
  <c r="AR47" i="39"/>
  <c r="DO46" i="39"/>
  <c r="AU47" i="39"/>
  <c r="CF46" i="39"/>
  <c r="BC45" i="39"/>
  <c r="BE44" i="39"/>
  <c r="AZ45" i="39"/>
  <c r="BF44" i="39"/>
  <c r="AT47" i="39"/>
  <c r="BA45" i="39"/>
  <c r="AV46" i="39"/>
  <c r="AW46" i="39"/>
  <c r="AQ47" i="39"/>
  <c r="DK47" i="39" s="1"/>
  <c r="AP47" i="39"/>
  <c r="DJ47" i="39" s="1"/>
  <c r="AS47" i="39"/>
  <c r="DM47" i="39" s="1"/>
  <c r="CL45" i="39" l="1"/>
  <c r="DU45" i="39"/>
  <c r="CE47" i="39"/>
  <c r="DN47" i="39"/>
  <c r="CN45" i="39"/>
  <c r="DW45" i="39"/>
  <c r="CJ45" i="39"/>
  <c r="DS45" i="39"/>
  <c r="CM45" i="39"/>
  <c r="DV45" i="39"/>
  <c r="CK45" i="39"/>
  <c r="DT45" i="39"/>
  <c r="CC47" i="39"/>
  <c r="DL47" i="39"/>
  <c r="BB46" i="39"/>
  <c r="CD47" i="39"/>
  <c r="AY46" i="39"/>
  <c r="CA47" i="39"/>
  <c r="AZ46" i="39"/>
  <c r="CB47" i="39"/>
  <c r="CP44" i="39"/>
  <c r="DY44" i="39"/>
  <c r="AR48" i="39"/>
  <c r="DO47" i="39"/>
  <c r="AU48" i="39"/>
  <c r="BD47" i="39" s="1"/>
  <c r="CF47" i="39"/>
  <c r="AT48" i="39"/>
  <c r="DN48" i="39" s="1"/>
  <c r="AQ48" i="39"/>
  <c r="AP48" i="39"/>
  <c r="AS48" i="39"/>
  <c r="AW47" i="39"/>
  <c r="AV47" i="39"/>
  <c r="BF45" i="39"/>
  <c r="DP46" i="39"/>
  <c r="BE45" i="39"/>
  <c r="BD46" i="39"/>
  <c r="CG46" i="39"/>
  <c r="BA46" i="39"/>
  <c r="BC46" i="39"/>
  <c r="CC48" i="39" l="1"/>
  <c r="DL48" i="39"/>
  <c r="CD48" i="39"/>
  <c r="DM48" i="39"/>
  <c r="CA48" i="39"/>
  <c r="DJ48" i="39"/>
  <c r="CJ46" i="39"/>
  <c r="DS46" i="39"/>
  <c r="CB48" i="39"/>
  <c r="DK48" i="39"/>
  <c r="CN46" i="39"/>
  <c r="DW46" i="39"/>
  <c r="CM46" i="39"/>
  <c r="DV46" i="39"/>
  <c r="CK46" i="39"/>
  <c r="DT46" i="39"/>
  <c r="CL46" i="39"/>
  <c r="DU46" i="39"/>
  <c r="BC47" i="39"/>
  <c r="CE48" i="39"/>
  <c r="BE46" i="39"/>
  <c r="BF46" i="39"/>
  <c r="DY45" i="39"/>
  <c r="CP45" i="39"/>
  <c r="DP47" i="39"/>
  <c r="BA48" i="39"/>
  <c r="DX46" i="39"/>
  <c r="CO46" i="39"/>
  <c r="BB48" i="39"/>
  <c r="AY48" i="39"/>
  <c r="AW48" i="39"/>
  <c r="AW49" i="39" s="1"/>
  <c r="AV48" i="39"/>
  <c r="BB47" i="39"/>
  <c r="AZ48" i="39"/>
  <c r="BA47" i="39"/>
  <c r="CO47" i="39"/>
  <c r="DX47" i="39"/>
  <c r="BC48" i="39"/>
  <c r="DO48" i="39"/>
  <c r="CF48" i="39"/>
  <c r="BD48" i="39"/>
  <c r="AY47" i="39"/>
  <c r="CG47" i="39"/>
  <c r="AZ47" i="39"/>
  <c r="CK47" i="39" l="1"/>
  <c r="DT47" i="39"/>
  <c r="CM48" i="39"/>
  <c r="DV48" i="39"/>
  <c r="CN47" i="39"/>
  <c r="DW47" i="39"/>
  <c r="CJ47" i="39"/>
  <c r="DS47" i="39"/>
  <c r="CJ48" i="39"/>
  <c r="DS48" i="39"/>
  <c r="CN48" i="39"/>
  <c r="DW48" i="39"/>
  <c r="CL48" i="39"/>
  <c r="DU48" i="39"/>
  <c r="CL47" i="39"/>
  <c r="DU47" i="39"/>
  <c r="CK48" i="39"/>
  <c r="DT48" i="39"/>
  <c r="CM47" i="39"/>
  <c r="DV47" i="39"/>
  <c r="DY46" i="39"/>
  <c r="CP46" i="39"/>
  <c r="DP48" i="39"/>
  <c r="CO48" i="39"/>
  <c r="DX48" i="39"/>
  <c r="BE47" i="39"/>
  <c r="BF47" i="39"/>
  <c r="BE48" i="39"/>
  <c r="BF48" i="39"/>
  <c r="CG48" i="39"/>
  <c r="BF49" i="39" l="1"/>
  <c r="K4" i="36" s="1"/>
  <c r="CP48" i="39"/>
  <c r="DY47" i="39"/>
  <c r="DY48" i="39"/>
  <c r="CP47" i="39"/>
  <c r="D40" i="16"/>
  <c r="D54" i="16" s="1"/>
  <c r="P6" i="31"/>
  <c r="R6" i="31" s="1"/>
  <c r="D86" i="16"/>
  <c r="D51" i="16"/>
  <c r="P28" i="31" s="1"/>
  <c r="R28" i="31" s="1"/>
  <c r="P7" i="31" l="1"/>
  <c r="R7" i="31" s="1"/>
  <c r="P5" i="31"/>
  <c r="R5" i="31" s="1"/>
  <c r="P26" i="31"/>
  <c r="R26" i="31" s="1"/>
  <c r="P25" i="31"/>
  <c r="R25" i="31" s="1"/>
  <c r="P27" i="31"/>
  <c r="R27" i="31" s="1"/>
  <c r="P4" i="31"/>
  <c r="R4" i="31" s="1"/>
  <c r="AC5" i="31" l="1"/>
  <c r="AA4" i="31"/>
  <c r="DB9" i="39" l="1"/>
  <c r="CU9" i="39"/>
  <c r="CW9" i="39"/>
  <c r="CR9" i="39"/>
  <c r="DD9" i="39"/>
  <c r="DA9" i="39"/>
  <c r="CS9" i="39"/>
  <c r="P30" i="31"/>
  <c r="R30" i="31" s="1"/>
  <c r="P29" i="31"/>
  <c r="R29" i="31" s="1"/>
  <c r="DF9" i="39"/>
  <c r="DG9" i="39" l="1"/>
  <c r="DG49" i="39" s="1"/>
  <c r="AC4" i="31"/>
  <c r="CX9" i="39"/>
  <c r="CX49" i="39" s="1"/>
  <c r="DS9" i="39" l="1"/>
  <c r="DJ9" i="39"/>
  <c r="S4" i="36"/>
  <c r="DO9" i="39"/>
  <c r="DM9" i="39"/>
  <c r="AG4" i="31"/>
  <c r="DK9" i="39"/>
  <c r="DX9" i="39"/>
  <c r="DT9" i="39"/>
  <c r="DV9" i="39"/>
  <c r="DY9" i="39" l="1"/>
  <c r="DY51" i="39" s="1"/>
  <c r="DP9" i="39"/>
  <c r="DP50" i="39" s="1"/>
  <c r="DP51" i="39" s="1"/>
  <c r="K19" i="31"/>
  <c r="N19" i="31" s="1"/>
  <c r="K15" i="31"/>
  <c r="N15" i="31" s="1"/>
  <c r="K27" i="31"/>
  <c r="N27" i="31" s="1"/>
  <c r="K11" i="31"/>
  <c r="N11" i="31" s="1"/>
  <c r="K24" i="31"/>
  <c r="N24" i="31" s="1"/>
  <c r="K22" i="31"/>
  <c r="N22" i="31" s="1"/>
  <c r="K8" i="31"/>
  <c r="N8" i="31" s="1"/>
  <c r="K14" i="31"/>
  <c r="N14" i="31" s="1"/>
  <c r="K18" i="31"/>
  <c r="N18" i="31" s="1"/>
  <c r="K5" i="31"/>
  <c r="N5" i="31" s="1"/>
  <c r="K7" i="31"/>
  <c r="N7" i="31" s="1"/>
  <c r="K23" i="31"/>
  <c r="N23" i="31" s="1"/>
  <c r="K12" i="31"/>
  <c r="N12" i="31" s="1"/>
  <c r="K21" i="31"/>
  <c r="N21" i="31" s="1"/>
  <c r="K26" i="31"/>
  <c r="N26" i="31" s="1"/>
  <c r="K28" i="31"/>
  <c r="N28" i="31" s="1"/>
  <c r="K20" i="31"/>
  <c r="N20" i="31" s="1"/>
  <c r="K10" i="31"/>
  <c r="N10" i="31" s="1"/>
  <c r="K9" i="31"/>
  <c r="N9" i="31" s="1"/>
  <c r="K13" i="31"/>
  <c r="N13" i="31" s="1"/>
  <c r="K6" i="31"/>
  <c r="N6" i="31" s="1"/>
  <c r="K4" i="31"/>
  <c r="N4" i="31" s="1"/>
  <c r="K17" i="31"/>
  <c r="N17" i="31" s="1"/>
  <c r="K25" i="31"/>
  <c r="N25" i="31" s="1"/>
  <c r="Y5" i="31" l="1"/>
  <c r="W4" i="31"/>
  <c r="DY50" i="39"/>
  <c r="DP49" i="39"/>
  <c r="DY49" i="39"/>
  <c r="U4" i="36" l="1"/>
  <c r="W4" i="36" s="1"/>
  <c r="K29" i="31" l="1"/>
  <c r="N29" i="31" s="1"/>
  <c r="BR9" i="39"/>
  <c r="BJ9" i="39"/>
  <c r="K30" i="31"/>
  <c r="N30" i="31" s="1"/>
  <c r="BT9" i="39"/>
  <c r="BW9" i="39"/>
  <c r="BO9" i="39"/>
  <c r="BN9" i="39"/>
  <c r="BV9" i="39"/>
  <c r="BL9" i="39"/>
  <c r="BX9" i="39" l="1"/>
  <c r="BX49" i="39" s="1"/>
  <c r="M4" i="36" s="1"/>
  <c r="BP9" i="39"/>
  <c r="BP49" i="39" s="1"/>
  <c r="Y4" i="31"/>
  <c r="CN9" i="39" l="1"/>
  <c r="CL9" i="39"/>
  <c r="CF9" i="39"/>
  <c r="CO9" i="39"/>
  <c r="CC9" i="39"/>
  <c r="CA9" i="39"/>
  <c r="CJ9" i="39"/>
  <c r="CE9" i="39"/>
  <c r="AE4" i="31"/>
  <c r="CP9" i="39" l="1"/>
  <c r="CP51" i="39" s="1"/>
  <c r="CG9" i="39"/>
  <c r="CG49" i="39" l="1"/>
  <c r="CG51" i="39"/>
  <c r="CG50" i="39"/>
  <c r="CP49" i="39"/>
  <c r="O4" i="36"/>
  <c r="AA4" i="36" s="1"/>
  <c r="CP50" i="39"/>
  <c r="Q4" i="36" l="1"/>
  <c r="Y4" i="36"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tc={603C2F11-5E66-4814-B67F-DFFF8E080187}</author>
    <author>tc={B532BF4A-7683-4B8F-BAB7-FAEDACCA9E7C}</author>
    <author>tc={B2D14A82-65CA-441E-9357-BF1B4A84C412}</author>
  </authors>
  <commentList>
    <comment ref="AC4" authorId="0" shapeId="0" xr:uid="{603C2F11-5E66-4814-B67F-DFFF8E080187}">
      <text>
        <t xml:space="preserve">[Threaded comment]
Your version of Excel allows you to read this threaded comment; however, any edits to it will get removed if the file is opened in a newer version of Excel. Learn more: https://go.microsoft.com/fwlink/?linkid=870924
Comment:
    We extracted probability of events with ticagrelor (AT) and prasugrel(AP) through adjusting the probability of events with clopidogrel. We first converted probability to odds. Then, we applied the odds ratios reported in the NICE NG 185 meta-analysis to the baseline odds to derive the odds of AC and AT. Finally, we converted the odds of AT and AP back into probability. </t>
      </text>
    </comment>
    <comment ref="AQ5" authorId="1" shapeId="0" xr:uid="{B532BF4A-7683-4B8F-BAB7-FAEDACCA9E7C}">
      <text>
        <t xml:space="preserve">[Threaded comment]
Your version of Excel allows you to read this threaded comment; however, any edits to it will get removed if the file is opened in a newer version of Excel. Learn more: https://go.microsoft.com/fwlink/?linkid=870924
Comment:
    A large-scale cohort study in the UK, encompassing a population of 2,297,738 individuals, has reported the frequency of CYP2C19 loss-of-function (LOF) alleles. To ensure robustness, we first cross-validated these reported rates against local studies that examined prevalence across different ethnic groups. Following this validation, we applied the prevalence estimates from this cohort to derive the expected frequency of LOF alleles across UK ethnic populations </t>
      </text>
    </comment>
    <comment ref="BN5" authorId="2" shapeId="0" xr:uid="{B2D14A82-65CA-441E-9357-BF1B4A84C412}">
      <text>
        <t xml:space="preserve">[Threaded comment]
Your version of Excel allows you to read this threaded comment; however, any edits to it will get removed if the file is opened in a newer version of Excel. Learn more: https://go.microsoft.com/fwlink/?linkid=870924
Comment:
    In the base-case analysis, a utility decrement of −0.049 was applied over a 1-month period to reflect the impact of mild-to-moderate dyspnea associated with ticagrelor therapy. This decrement is derived from Kazi et al. (2014), who assumed a −0.049 disutility based on EQ-5D utility losses observed in patients with stable angina, specifically referencing Longworth et al. (2005) as the source for quality-of-life decrements due to breathlessness. Kazi’s sensitivity analyses demonstrated that this value—approximately 6% of baseline QoL at age 65—served as a threshold at which ticagrelor would no longer be cost-effective for carriers of CYP2C19 loss-of-function alleles. Although Kazi et al. presented this value as an annualized decrement, evidence from the PLATO trial and subsequent analyses suggests that ticagrelor-induced dyspnea is typically early-onset and transient, resolving in 2–4 weeks for most patients (Storey et al., 2011; Andell et al., 2015). Supporting this, Howard (2015) incorporated a 3-month duration in modeling but acknowledged that the majority of symptoms resolved sooner. Therefore, in alignment with clinical trajectory and to ensure conservative yet realistic estimates, the disutility is applied over 1 month, resulting in a QALY decrement of 0.00408 per affected patient (0.049 × 1/12).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tc={0B6DD241-C2BC-4CA7-B00F-DE0F258AE474}</author>
    <author>tc={15A76C50-EE4A-4237-B7E9-57C087DC5DF5}</author>
    <author>tc={2927ABDB-8929-4FF9-B1DC-4F9B233510B8}</author>
  </authors>
  <commentList>
    <comment ref="M3" authorId="0" shapeId="0" xr:uid="{0B6DD241-C2BC-4CA7-B00F-DE0F258AE474}">
      <text>
        <t xml:space="preserve">[Threaded comment]
Your version of Excel allows you to read this threaded comment; however, any edits to it will get removed if the file is opened in a newer version of Excel. Learn more: https://go.microsoft.com/fwlink/?linkid=870924
Comment:
    NG185 initially used the 2017 tariffs for eight ERG codes to estimate the weighted average cost of non-elective PCI for both short‑stay and long‑stay admissions. We updated these estimates using the latest NHS tariffs for the same ERG codes—which have changed since 2017—by adopting the long‑stay values from the NHS 23/25 tariffs. As short‑stay values were not directly available in the updated tariffs, we derived them by applying the observed long‑stay/short‑stay cost ratio reported in NG185 for each ERG code. Finally, we used the FCE data provided in NG185 to calculate an overall weighted average cost for PCI. </t>
      </text>
    </comment>
    <comment ref="A4" authorId="1" shapeId="0" xr:uid="{15A76C50-EE4A-4237-B7E9-57C087DC5DF5}">
      <text>
        <t xml:space="preserve">[Threaded comment]
Your version of Excel allows you to read this threaded comment; however, any edits to it will get removed if the file is opened in a newer version of Excel. Learn more: https://go.microsoft.com/fwlink/?linkid=870924
Comment:
    The same as NG 185 method, assumptions. </t>
      </text>
    </comment>
    <comment ref="G4" authorId="2" shapeId="0" xr:uid="{2927ABDB-8929-4FF9-B1DC-4F9B233510B8}">
      <text>
        <t xml:space="preserve">[Threaded comment]
Your version of Excel allows you to read this threaded comment; however, any edits to it will get removed if the file is opened in a newer version of Excel. Learn more: https://go.microsoft.com/fwlink/?linkid=870924
Comment:
    For those who were alive at 1 year intervention costs were calculated taking into account an estimate of average treatment duration of 328 days (90% of the year). The same treatment duration was used for all DAPT options. This basis for the treatment duration is discussed further below. </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tc={C1A7B186-5DD2-4B8F-8F96-1A6B58B951BD}</author>
  </authors>
  <commentList>
    <comment ref="A2" authorId="0" shapeId="0" xr:uid="{C1A7B186-5DD2-4B8F-8F96-1A6B58B951BD}">
      <text>
        <t xml:space="preserve">[Threaded comment]
Your version of Excel allows you to read this threaded comment; however, any edits to it will get removed if the file is opened in a newer version of Excel. Learn more: https://go.microsoft.com/fwlink/?linkid=870924
Comment:
    To accurately reflect the decline in quality of life with aging, health state utilities in the model were adjusted annually for age and sex. This adjustment prevents the overestimation of Quality-Adjusted Life Years (QALYs) and aligns with best practices in economic modeling. It was also emphasised as a necessary component in the NICE Technology Appraisal (TA) evidence review for rivaroxaban. And NICE NG-185. 
Age-specific general population EQ-5D-3L utilities were calculated each year using the formula from Ara (2010):
Utility=0.9508566+0.0212126×Male−0.0002587×Age−0.0000332×⁅Age ⁆⁅2⁆⁅ ⁆Utility=0.9508566+0.0212126×Male−0.0002587×Age−0.0000332×Age2 
where:
Male = 1 for males and 0 for females.
Age is expressed in years.
The average age and gender distribution of the population were incorporated into calculations, as detailed in Table 23 (Section 2.3.4). The resulting age-adjusted general population utilities were then combined with health-state-specific utilities using the multiplicative adjustment method, ensuring a more accurate estimation of QALYs over time.
</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tc={77662616-55B5-4DAB-9456-243F05F042AB}</author>
  </authors>
  <commentList>
    <comment ref="C4" authorId="0" shapeId="0" xr:uid="{77662616-55B5-4DAB-9456-243F05F042AB}">
      <text>
        <t xml:space="preserve">[Threaded comment]
Your version of Excel allows you to read this threaded comment; however, any edits to it will get removed if the file is opened in a newer version of Excel. Learn more: https://go.microsoft.com/fwlink/?linkid=870924
Comment:
    This study reported the bleeding event and secondary events which we need for our short term model. from the title, it seems that the focus was on bleeding. Then we used the risks reported in this study for bleeding, in our model. there is not well agreement between this study with the literature in terms of the risk of secondary outcomes. </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6">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futureMetadata>
  <valueMetadata count="16">
    <bk>
      <rc t="1" v="0"/>
    </bk>
    <bk>
      <rc t="1" v="1"/>
    </bk>
    <bk>
      <rc t="1" v="2"/>
    </bk>
    <bk>
      <rc t="1" v="3"/>
    </bk>
    <bk>
      <rc t="1" v="4"/>
    </bk>
    <bk>
      <rc t="1" v="5"/>
    </bk>
    <bk>
      <rc t="1" v="6"/>
    </bk>
    <bk>
      <rc t="1" v="7"/>
    </bk>
    <bk>
      <rc t="1" v="8"/>
    </bk>
    <bk>
      <rc t="1" v="9"/>
    </bk>
    <bk>
      <rc t="1" v="10"/>
    </bk>
    <bk>
      <rc t="1" v="11"/>
    </bk>
    <bk>
      <rc t="1" v="12"/>
    </bk>
    <bk>
      <rc t="1" v="13"/>
    </bk>
    <bk>
      <rc t="1" v="14"/>
    </bk>
    <bk>
      <rc t="1" v="15"/>
    </bk>
  </valueMetadata>
</metadata>
</file>

<file path=xl/sharedStrings.xml><?xml version="1.0" encoding="utf-8"?>
<sst xmlns="http://schemas.openxmlformats.org/spreadsheetml/2006/main" count="2593" uniqueCount="1319">
  <si>
    <t>Time</t>
  </si>
  <si>
    <t xml:space="preserve">October </t>
  </si>
  <si>
    <t xml:space="preserve">November </t>
  </si>
  <si>
    <t>December</t>
  </si>
  <si>
    <t xml:space="preserve">activity </t>
  </si>
  <si>
    <t>week 1</t>
  </si>
  <si>
    <t>week 2</t>
  </si>
  <si>
    <t>week 3</t>
  </si>
  <si>
    <t>week 4</t>
  </si>
  <si>
    <t xml:space="preserve">extraction Data </t>
  </si>
  <si>
    <t xml:space="preserve">develop decision problem table </t>
  </si>
  <si>
    <t xml:space="preserve">develop decision model structure </t>
  </si>
  <si>
    <t xml:space="preserve">validate model (peer validation, KP, SU) </t>
  </si>
  <si>
    <t xml:space="preserve">develop list of parameter </t>
  </si>
  <si>
    <t xml:space="preserve">build table of parameters  </t>
  </si>
  <si>
    <t xml:space="preserve">code model </t>
  </si>
  <si>
    <t xml:space="preserve">run analysis </t>
  </si>
  <si>
    <t xml:space="preserve">present results </t>
  </si>
  <si>
    <t xml:space="preserve">write report </t>
  </si>
  <si>
    <t xml:space="preserve">title </t>
  </si>
  <si>
    <t xml:space="preserve">Year </t>
  </si>
  <si>
    <t xml:space="preserve">Author </t>
  </si>
  <si>
    <t xml:space="preserve">country </t>
  </si>
  <si>
    <t xml:space="preserve">Study population / Age </t>
  </si>
  <si>
    <t xml:space="preserve">gene of interest </t>
  </si>
  <si>
    <t>Intervention</t>
  </si>
  <si>
    <t>Comparator</t>
  </si>
  <si>
    <t xml:space="preserve">Time horizon </t>
  </si>
  <si>
    <t>Study perspective</t>
  </si>
  <si>
    <t xml:space="preserve">model type </t>
  </si>
  <si>
    <t>Data sources</t>
  </si>
  <si>
    <t>Resource and costs</t>
  </si>
  <si>
    <t>Consequences</t>
  </si>
  <si>
    <t xml:space="preserve">Health states included in the Markov </t>
  </si>
  <si>
    <t xml:space="preserve">length of Markov stages </t>
  </si>
  <si>
    <t>Uncertainty (variables - analysis)</t>
  </si>
  <si>
    <t>cost-effectiveness conclusion</t>
  </si>
  <si>
    <t xml:space="preserve">Study DOI / URL </t>
  </si>
  <si>
    <t>key assumptions of the model or any note useful for modelling</t>
  </si>
  <si>
    <t>Primary outcomes</t>
  </si>
  <si>
    <t>Model inputs (1)</t>
  </si>
  <si>
    <t>Model inputs (2)</t>
  </si>
  <si>
    <t>Ali</t>
  </si>
  <si>
    <t>Short- and long-term cost-effectiveness analysis of CYP2C19 genotype-guided therapy, universal clopidogrel, versus universal ticagrelor in post-percutaneous coronary intervention patients in Qatar</t>
  </si>
  <si>
    <t>AlMukdad</t>
  </si>
  <si>
    <t xml:space="preserve">QATAR - </t>
  </si>
  <si>
    <t xml:space="preserve">post-PCI patients with ACS.  
</t>
  </si>
  <si>
    <t xml:space="preserve">CYP2C19 </t>
  </si>
  <si>
    <t>genetic testing to guide antiplatelet selection, so that CYP2C19*2 or *3 LOF allele carriers will receive ticagrelor and CYP2C19*2 or *3 LOF allele non-carriers will receive clopidogrel. 
 For all treatment strate_x0002_gies, patients received DAPT over a 12-month duration. In the genotype-guided arm, the LOF allele was considered regardless of whether patients were intermediate metabolizers, i.e. intermediate enzyme activity such as *1/*2, *1/*3, *2/*17, or poor metabolizers, i.e. re_x0002_duced or deficient enzyme activity such as *2/*2, *2/*3, *3/*3.</t>
  </si>
  <si>
    <t>universal administration of clopidogrel 75 mg oral tablet once daily to all patients; (ii) universal administration of ticagrelor 90 mg oral tablet twice daily to all patients; and</t>
  </si>
  <si>
    <t xml:space="preserve"> 1 year decision tree and 20 year Markov</t>
  </si>
  <si>
    <t xml:space="preserve"> hospital perspective</t>
  </si>
  <si>
    <t xml:space="preserve">Decision tree + Markov </t>
  </si>
  <si>
    <t>PLATO trial , Meta Analysis.
The probabilities of the clinical outcomes in the genotype-guided therapy arm were obtained from the PLATO genetic substudy [21]. 
The calculations of the transition probabilities for the health states in the Markov model were based on the PLATO health economic substudy, in which the probability of death is multiplied by a constant value that represents the ‘hazard ratio over standard mortality’ (Appendix 1) [24, 29].</t>
  </si>
  <si>
    <t>only the costs of direct medical resources in patient management were taken into consideration. Resources and how they are used were based on published clinical practice guidelines, adapted to the local perspective according to the available clinical guidelines at HMC [
]. The cost per patient in the different model pathways (health states) was calculated as the initial therapy cost added to the cost of hospitalization, resources consumed for monitoring, and screening tests throughout the duration therapy, including follow up.</t>
  </si>
  <si>
    <t xml:space="preserve">Patients were exclusively differentiated into a ‘success’ or a ‘failure’ outcome health state. Success was defined as survival with no event (i.e. without MI, stroke, cardiovascular death, or stent thrombosis), with/without ADRs (no premature discontinuation due to ADRs); i.e. MI, stroke, cardiovascular death, and stent thrombosis were successfully prevented. Failure was defined as the occurrence of MI, stroke, cardiovascular death, or stent thrombosis (with/without ADRs), or the discontinuation of the medication due to ADRs; i.e. MI, stroke, cardiovascular death, or stent thrombosis were not prevented, or the medication was prematurely discontinued.  Since only 1.5% of the patients included in the PLATO trial had multiple cardiovascular events [8], it was assumed that during the one year, patients could not have MI, stroke, or stent thrombosis concurrently. The
major bleeding and dyspnea were the ADRs of interest in the current model, including those causing therapy discontinuation, and they could occur regardless of the patient's cardiovascular event state. Major bleeding was defined as non-coronary artery bypass
grafting (CABG) Thrombolysis in Myocardial Infarction (TIMI) related to major bleeding
[23]. Discontinuation was defined as premature discontinuation of therapy because of
ADRs after which patients stopped DAPT and continued on aspirin monotherapy lifelong. </t>
  </si>
  <si>
    <t>‘no event’, ‘post MI’, ‘post stroke’,  ‘death’ , "non-fatal MI", "non-fatal stroke". 
Key assumptions in the Markov model structure were that, first, there was no treatment effect after the one-year short-term model as ticagrelor and clopidogrel were both stopped, and patients continued on aspirin monotherapy only . Second, ADRs (i.e. major bleeding and dyspnea) are not explicitly modeled in the Markov model structure because ADRs are not prognostic in terms of long-term effects (beyond the one-year model follow up) on survival, quality of life, and costs  Finally, it was assumed that patients, who had stent thrombosis by the end of the one-year non-Markov model, only made transition to the ‘no event’ and ‘dead’ states in the Markov follow-up.</t>
  </si>
  <si>
    <t xml:space="preserve">1 year </t>
  </si>
  <si>
    <t>Accounting for variability in acquisition costs with the availability of cheaper generics, a one-way sensitivity analysis was conducted for the costs of antiplatelets acquisition. 
To account for real-life interactions among different concurrent inherent uncertainties in key input data, the analysis of clinical and utility input values in the study's two-component model was based on a multivariate analysis, using Monte Carlo simulation via @Risk-7.6® (Palisade Corporation, NY, US). Based on 10,000 iterations, a multivariate sensitivity analysis that included variations in all clinical probabilities, utility values, and mutation probability. This was based on 95% CI uncertainty range and a trigen type of distribution for the probabilities. For the utility values, where CI was not available, ±10% variation with a triangular distribution was used. Trigen and Triangular distributions were, therefore, respectively used as relevant.</t>
  </si>
  <si>
    <t>based on the study perspective and assumptions, and regardless of the acquisition costs of clopidogrel and ticagrelor, CYP2C19 genotype-guided therapy remained at least a cost-effective antiplatelet strategy compared to either universal use of clopidogrel or ticagrelor over the short-term and long-term evaluations, and the universal clopidogrel was dominant and cost-effective compared to universal ticagrelor in the short-term and long-term analyses, respectively.</t>
  </si>
  <si>
    <t>https://doi.org/10.1016/j.ijcard.2021.01.044</t>
  </si>
  <si>
    <t>first, there was no treatment effect after the one-year short-term model as ticagrelor and clopidogrel were both stopped, and patients continued on aspirin monotherapy only [24]. Second, ADRs (i.e. major bleeding and dyspnea) are not explicitly modeled in the Markov model structure because ADRs are not prognostic in terms of long-term effects (beyond the one-year model follow up) on survival, quality of life, and costs [24]. Finally, it was assumed that patients, who had stent thrombosis by the end of the one-year non-Markov model, only made transition to the ‘no event’ and ‘dead’ states in the Markov follow-up.</t>
  </si>
  <si>
    <t>CYP2C19-guided antiplatelet therapy: a cost-effectiveness analysis of 30-day and 1-year outcomes following percutaneous coronary intervention</t>
  </si>
  <si>
    <t>Borse</t>
  </si>
  <si>
    <t>USA</t>
  </si>
  <si>
    <r>
      <t xml:space="preserve">CAD patients undergoing PCI and treated with aspirin and a P2Y12 inhibitor for atleast 12 months. 
</t>
    </r>
    <r>
      <rPr>
        <sz val="12"/>
        <color rgb="FFFF0000"/>
        <rFont val="Calibri"/>
        <family val="2"/>
        <scheme val="minor"/>
      </rPr>
      <t>They are not ACS and should be excluded.</t>
    </r>
  </si>
  <si>
    <t>genotype-guided therapy (CYP2C19 genotypingwith subsequent use of prasugrel for individuals carry-ing 1 or 2 LOF alleles and clopidogrel for individualswith 0 LOF alleles). For patients undergoing CYP2C19 genetic testing, we assumed that all LOF allele carri-ers would receive prasugrel instead of clopidogrel,as recommended by the Clinical Pharmacogenetics Implementation Consortium guidelines</t>
  </si>
  <si>
    <t>universal clopidogrel (clopidogrel for allindividuals without genotyping); universal prasugrel(prasugrel for all individuals without genotyping)</t>
  </si>
  <si>
    <t>Two time horizons wereinvestigated with the same decision tree model: 
30 days to evaluate early outcomes (primary analysis) and one year to evaluate total outcomes (secondary analysis).</t>
  </si>
  <si>
    <t>US healthcare payer’s perspective</t>
  </si>
  <si>
    <t xml:space="preserve">decision tree </t>
  </si>
  <si>
    <t>Publicly available data sources and published studies wereused for all model inputs.  meta-analysis by Mega and colleagues, which included ninestudies of CAD patients undergoing PCI, with enrich-ment from the TRITON TIMI-38 clinical trial thatcompared clinical outcomes following randomization toeither clopidogrel or prasugrel in ACS patients under-going PCI. The cost estimates used in the analysisare reported in 2014 US dollars ($) and are based onMedicare reimbursement rates.</t>
  </si>
  <si>
    <t xml:space="preserve">cost of drugs, genetic test. Managing MACE , bleeding , and ST event. </t>
  </si>
  <si>
    <t>MACE (defined as composite of cardiovascular death, myocardial infarction or ischemic stroke events), ST(defined as definite or probable ST events according to the Academic Research Consortium criteria) and major bleeding (defined as major bleeding events unrelated to coronary artery bypass graft surgery according to the Thrombolysis in Myocardial Infarction [TIMI] crite-ria) at 30 days and 1 year.  
Model outcomes were calculated as the number of MACE, ST and major bleed-ing events avoided in the genotype-guided treatment arm compared with use of either universal clopidogrelor universal prasugrel per 10,000 patients treated.
The expected event costs per treated patient and The incremental cost–effectiveness ratio value represents the cost to avoid a major cardiovascular or bleeding event.</t>
  </si>
  <si>
    <t xml:space="preserve">not applicable </t>
  </si>
  <si>
    <t xml:space="preserve">Probabilistic sensitivity analyses were performed using 10,000 Monte Carlo simulations to investigate the impact of parameter uncertainty on the early outcome and total outcome cost–effectiveness results. 
All model inputs were parameterized using a triangular distribution with the base-case value representing the peak value and reported 95% confidence intervals or ranges, when available, or ± 20% of the base-case value representing the minimum and maximum values for individual inputparameters. </t>
  </si>
  <si>
    <t xml:space="preserve">In the current investigation of a hypothetical US cohort of CAD patients undergoing PCI, selecting antiplatelet therapy based on a CYP2C19 genetic test result was projected to avoid major cardiovascular or bleeding adverse events at reasonable costs over the course of 30 days and 1 year following PCI when compared with universal clopidogrel and universal prasugrel. Taken together, these results suggest that implementing agenotype-guided approach to optimize P2Y12 inhibitor selection in clinical practice could help health systems achieve lower readmission rates within the first 30 daysfollowing PCI. </t>
  </si>
  <si>
    <t>DOI: 10.2217/pgs-2017-0075</t>
  </si>
  <si>
    <t xml:space="preserve">It was also assumed that information on CYP2C19 genotype would be available either pre-emptively or with prompt turnaround to sufficiently guide drug selection duringthe index PCI hospitalization, as described by institutions that have implemented CYP2C19 genotypinginto clinical practice. 
NOTE: sensitivity and specificity of 0.9999 are assumed and changed in snsitivity analysis between 0.95 - 1. </t>
  </si>
  <si>
    <t>Cost Effectiveness of a CYP2C19 Genotype-Guided Strategy in Patients with Acute Myocardial Infarction: Results from the POPular Genetics Trial</t>
  </si>
  <si>
    <t xml:space="preserve">Claassens </t>
  </si>
  <si>
    <t>Netherlands</t>
  </si>
  <si>
    <t xml:space="preserve">patients with STEMI undergoing primary PCI.
Mean age of the trial was 61 year. </t>
  </si>
  <si>
    <t>CYP2C19 genotype-guided strategy, where patients without CYP2C19*2 or *3 loss-of-function alleles were prescribed clopidogrel 75 mg once daily and ticagrelor or prasugrel (dosage identical to standard treatment) if they were carriers of such a loss-of-function allele. All patients also received guideline-recommended ASA.</t>
  </si>
  <si>
    <t xml:space="preserve">standard treatment with the P2Y12 inhibitors ticagrelor 90 mg twice daily or prasugrel 5 or 10 mg once daily based on the summary of product characteris_x0002_tics approved by the European Medicines Agency. </t>
  </si>
  <si>
    <t xml:space="preserve"> 1-year decision tree. lifelong Markov model</t>
  </si>
  <si>
    <t xml:space="preserve">health care </t>
  </si>
  <si>
    <t>POPular Genetics Trial</t>
  </si>
  <si>
    <t xml:space="preserve">only medical costs were included. Cost categories were treatment costs (genetic test and diferent antiplatelet drugs) and costs associated with the 
diferent events: minor bleeding, major bleeding, nonfatal MI, nonfatal stroke, post-MI, post-stroke, and death. The costs associated with the use of ASA and other medication 
were excluded from the analysis, since we assumed this would afect both treatment strategies equally. </t>
  </si>
  <si>
    <t xml:space="preserve">Bleeding(minor - major) , strok , miocardial infarctin and death. 
Health utilities, measured in quality-adjusted life-years (QALYs), were dependent on the events experienced by patients (Table  2). Health utility estimates were either derived from the POPular Genetics trial (using the EQ_x0002_5D-5L questionnaire) or, if data were not available from the trial, derived from literature focused on the Dutch health_x0002_care system with similar populations. </t>
  </si>
  <si>
    <t>The Markov model structure is identical to previously published mdels. States are included : Four disease transient states were included to refect the lifetime pro_x0002_gression of individuals after STEMI, including MI, post-MI, 
stroke, and post-stroke. Additionally, the model comprised two absorbing states, defned as cardiovascular death and noncardiovascular death.</t>
  </si>
  <si>
    <t>yearly cycles</t>
  </si>
  <si>
    <t>Four additional scenarios were conducted to capture the efect of the time horizon (1, 5, 10, and 25 years in the Markov model; sce_x0002_nario 1); adjustment of the discount rates to both costs and utilities at 4% (scenario 2); equal drug prices for all three drugs at €0.05/day, to mimic the availability of generic variants in the future (scenario 3); and equal distribution of the cohort over post-MI, post-stroke, and death (both cardiovascular death and  noncardiovascular death) at the start of the Markov model for both strategies to account for the uncertainty that a genotype-guided strategy does not result in numerically less stroke and MI as seen in the POPular Genetics trial (scenario 4).  For the sensitiv_x0002_ity analyses, the estimated range of each parameter was based on the 95% confdence interval (CI) in the studies. If the 95% CI was not available, ranges were calculated with a standard error of the mean of 25%. For univariate deterministic sensitivity analyses, each of the parameters was varied one by one over the 95% CI to examine the infuence of individual parameters on the ICER.</t>
  </si>
  <si>
    <t>In patients with STEMI undergoing primary PCI, a CYP2C19 genotype-guided strategy compared with stand_x0002_ard treatment with ticagrelor or prasugrel resulted in QALYs 
gained and cost savings.</t>
  </si>
  <si>
    <t>DO=10.1007%2fs40256-021-00496-4</t>
  </si>
  <si>
    <t>One of the assumptions underpinning the model was that 
patients in both groups were treated with ASA monotherapy after the 1-year trial period was fnished. Therefore, no dif_x0002_ference in bleeding rates was expected in the Markov model. 
Furthermore, bleeding usually decreases quality of life for 
only a short period. Hence, bleeding was not included as a 
separate health state in the Markov model. We assumed that patients could not develop multiple events during the 1-year The CYP2C19*2 and *3 alleles are the most common loss-of-function alleles, and  almost one-third of people in western populations carry one or two of these alleles [4]. 
In addition, we assumed that recurrent stroke or 
MI could only happen with a minimum interval of 1 year.</t>
  </si>
  <si>
    <t>Cost-effectiveness of CYP2C19-guided P2Y12 inhibitors in Veterans undergoing percutaneous coronary intervention for acute coronary syndromes</t>
  </si>
  <si>
    <t>Dong</t>
  </si>
  <si>
    <t xml:space="preserve">Veterans post-ACS/PCI. Type of ACS not specified. </t>
  </si>
  <si>
    <t>CYP2C19</t>
  </si>
  <si>
    <t xml:space="preserve">test results indicated CYP2C19
status (i.e. functional or LOF) and were available when P2Y12 in_x0002_hibitors were prescribed. Original ticagrelor or prasugrel assign_x0002_ments were de-escalated to clopidogrel if CYP2C19 was functional. The original clopidogrel assignment was escalated to prasugrel or ticagrelor if CYP2C19 LOF status was present. Otherwise, baseline assignment continued for 12 months. </t>
  </si>
  <si>
    <t>routine treatment with Clopidogrel , Prasugrel and Ticagrelor. Baseline P2Y12 inhibitor assignment
was 74.4% clopidogrel, 5.4% prasugrel, and 20.2% ticagrelor.</t>
  </si>
  <si>
    <t>12-month</t>
  </si>
  <si>
    <t xml:space="preserve"> Veterans Health Adminis_x0002_tration (VHA) of the U</t>
  </si>
  <si>
    <t xml:space="preserve"> decision tree</t>
  </si>
  <si>
    <t xml:space="preserve">TAILOR-PCI. 
The POPular Genetics RCT. 
The cohort size and baseline P2Y12 inhibitor assignment were based on VA data (Supplementary material online, Supplemental Methods 1, Table S1). 
CYP2C19 LOF prevalence was based on published data (Supplementary
material online, Supplemental Methods 2).9–11. RCTs and meta-analysis. </t>
  </si>
  <si>
    <t xml:space="preserve">Direct medical payments from VHA’s perspective that are relevant for
patient care included CYP2C19 testing, medication, and event costs and were abstracted from the fiscal year 2020 VHA administrative data. 
</t>
  </si>
  <si>
    <t xml:space="preserve">escalation, de-escalation, MI, stroke, bleeds, CV-related death, life years, deaths, QALYs, and
cost. The primary outcome, cost/QALY gained or the incremental cost_x0002_effectiveness ratio (ICER), was calculated by dividing.
the incremental cost by the incremental gain in QALYs for CYP2C19 testing relative to no CYP2C19 testing.
</t>
  </si>
  <si>
    <t xml:space="preserve">this is a decision tree which captured short term outcomes. </t>
  </si>
  <si>
    <t>not relevant</t>
  </si>
  <si>
    <t xml:space="preserve">For the one_x0002_way SA, the minimum and maximum values were individually tested for 27/62 model inputs (i.e. CYP2C19 LOF carrier prevalence, HSUVs, event probabilities and costs of drugs, CYP2C19 testing, events). For the PSA, 1000 Monte Carlo simulations were completed using triangular distribu_x0002_tions for CYP2C19 LOF carrier prevalence, costs, and event probabilities; and beta distributions for HSUVs. </t>
  </si>
  <si>
    <t xml:space="preserve"> In comparison to no CYP2C19 testing, CYP2C19 testing was dominant (health gains of 0.0027 QALYs and cost savings of $527 per person) and thus a cost-effective and high-value strategy.</t>
  </si>
  <si>
    <t>https://doi.org/10.1093/ehjqcco/qcac031</t>
  </si>
  <si>
    <r>
      <t xml:space="preserve">Implementation scenarios investigated implementation factors to identify the minimum values needed to ensure CYP2C19 testing re_x0002_mained cost-effective and high-value. 
Adherence to CYP2C19 test results was 90% for de-escalation and 85% for escalation per RCTs.2,3 For the no CYP2C19 testing strategy, CYP2C19 testing was not completed, and original P2Y12 inhibitor assignments were not changed.
Note:    </t>
    </r>
    <r>
      <rPr>
        <b/>
        <sz val="12"/>
        <color theme="1"/>
        <rFont val="Calibri"/>
        <family val="2"/>
        <scheme val="minor"/>
      </rPr>
      <t>TAILOR-PCI</t>
    </r>
    <r>
      <rPr>
        <sz val="12"/>
        <color theme="1"/>
        <rFont val="Calibri"/>
        <family val="2"/>
        <scheme val="minor"/>
      </rPr>
      <t xml:space="preserve"> enrolled 82% with ACS and was the first
RCT to estimate treatment effects of CYP2C19-guided ‘escala_x0002_tion’.2 CYP2C19 LOF carriers were randomized to prasugrel or ticagrelor vs. clopidogrel and resulted in a 34% improvement in CV events among CYP2C19 LOF carriers.2 The </t>
    </r>
    <r>
      <rPr>
        <b/>
        <sz val="12"/>
        <color theme="1"/>
        <rFont val="Calibri"/>
        <family val="2"/>
        <scheme val="minor"/>
      </rPr>
      <t>POPular Genetics</t>
    </r>
    <r>
      <rPr>
        <sz val="12"/>
        <color theme="1"/>
        <rFont val="Calibri"/>
        <family val="2"/>
        <scheme val="minor"/>
      </rPr>
      <t xml:space="preserve"> RCT tested CYP2C19-guided ‘de-escalation’ in patients with STEMI treated with PCI. CYP2C19 LOF carriers were randomized to ticagrelor vs. CYP2C19-guided therapy, and functional CYP2C19 carriers were preferentially prescribed. </t>
    </r>
  </si>
  <si>
    <t>Cost-effectiveness analysis of pharmacogenomics-guided clopidogrel treatment in Spanish patients undergoing percutaneous coronary intervention</t>
  </si>
  <si>
    <t xml:space="preserve">Fragoulakis </t>
  </si>
  <si>
    <t>Spain</t>
  </si>
  <si>
    <t>18 years of age, were diagnosed with CAD and underwent PCI with stent implantation</t>
  </si>
  <si>
    <r>
      <t>CYP2C19*2</t>
    </r>
    <r>
      <rPr>
        <sz val="9"/>
        <color rgb="FF222222"/>
        <rFont val="Segoe UI"/>
        <family val="2"/>
      </rPr>
      <t>, </t>
    </r>
    <r>
      <rPr>
        <i/>
        <sz val="9"/>
        <color rgb="FF222222"/>
        <rFont val="Segoe UI"/>
        <family val="2"/>
      </rPr>
      <t>CYP2C19*3</t>
    </r>
    <r>
      <rPr>
        <sz val="9"/>
        <color rgb="FF222222"/>
        <rFont val="Segoe UI"/>
        <family val="2"/>
      </rPr>
      <t> and </t>
    </r>
    <r>
      <rPr>
        <i/>
        <sz val="9"/>
        <color rgb="FF222222"/>
        <rFont val="Segoe UI"/>
        <family val="2"/>
      </rPr>
      <t>CYP2C19*17</t>
    </r>
  </si>
  <si>
    <t>patients belonging to the Prospective group (P group; n = 317) followed a genotype-guided treatment strategy according to their CYP2C19 genotyping.</t>
  </si>
  <si>
    <t>Patients belonging to the Retrospective group (R group; n = 402) followed a non-tailored strategy</t>
  </si>
  <si>
    <t xml:space="preserve">12 month </t>
  </si>
  <si>
    <t xml:space="preserve">healthcare </t>
  </si>
  <si>
    <t>decision tree based on trial results</t>
  </si>
  <si>
    <t>A total of 549 patients diagnosed with coronary artery disease followed by PCI were recruited. Dual antiplatelet therapy was administrated to all patients from 1 to 12 months after PCI. health related quality of life taken from the literature.</t>
  </si>
  <si>
    <t>Only direct healthcare costs reimbursed by the payers were considered, such as any cost related to the management of patients including the expenses for the delivery of the treatment, the cost of the genetic test and the management of any adverse drug reaction.</t>
  </si>
  <si>
    <t>(a) myocardial infraction, (b) major bleeding and minor bleeding, (c) stroke, (d) the number of hospitalization days, and (e) the number of days patients spent in Intensive Care Unit. Our primary outcome measure for the cost-effectiveness analysis was Quality Adjusted Life Years (QALYs).</t>
  </si>
  <si>
    <t>Given that data are generally not normally distributed, but skewed to the right, bootstrapping was used to create confidence intervals using the percentile method. Mean values of the parameters of interest were obtained from each dataset and were used to construct a new matrix with 5000 observations.</t>
  </si>
  <si>
    <t xml:space="preserve"> The majority of the simulation experiments fell into the South-East quadrant indicating with once again that the Prospective group was less expensive but also more effective than the Retrospective group. In accordance with the deterministic results, the ICER for the Retrospective group was negative indicating that the intervention strategy in the Prospective group represents a dominant option. </t>
  </si>
  <si>
    <t>Cost-effectiveness analysis of pharmacogenomics-guided clopidogrel treatment in Spanish patients undergoing percutaneous coronary intervention | The Pharmacogenomics Journal (nature.com)</t>
  </si>
  <si>
    <t>Cost-effectiveness of CYP2C19 LOF-guided antiplatelet therapy in Chinese patients with acute coronary syndrome</t>
  </si>
  <si>
    <t>Fu</t>
  </si>
  <si>
    <t xml:space="preserve">China </t>
  </si>
  <si>
    <t>Chinese ACS patients aged 60who underwent PCI.</t>
  </si>
  <si>
    <t>CYP2C19*2</t>
  </si>
  <si>
    <t>CYP2C19 LOF allele carriers receiving ticagrelor 90 mg twice daily and LOF allele noncarriers receiving clopidogrel 75 mg daily. Patients in all three groups would receive a loading dose of clopidogrel 300 mg or ticagrelor 180 mg prior to PCI and 1-year DAPT (aspirin 100 mg plus clopidogrel 75 mg daily or ticagrelor90 mg twice daily)</t>
  </si>
  <si>
    <t xml:space="preserve">universal use of clopidogrel75 mg daily for all patients; universal use of ticagrelor 90 mg twice daily for all patients. </t>
  </si>
  <si>
    <t xml:space="preserve">25 years </t>
  </si>
  <si>
    <t>healthcare provider</t>
  </si>
  <si>
    <t xml:space="preserve">decision tree and Markov </t>
  </si>
  <si>
    <t xml:space="preserve">literature review . 
East-Asian sub-study of the PLATO and the PHILO studies [15]. </t>
  </si>
  <si>
    <t xml:space="preserve">cost of CYP2C19 test, Daily costs of clopidogrel and ticagrelor, average costs health states included in decision models. 
‘China Health and Family Planning Statistics Yearbook 2016 , literature was data sources.  </t>
  </si>
  <si>
    <t xml:space="preserve">Death from cardiovascular cause or  bleeding,   non-fatal stroke, non-fatal myocardial infarction(non-fatal MI) or non-fatal major bleeding. health utility scores. quality-adjusted life years (QALYs) and incremental cost–effectiveness ratios (ICERs). </t>
  </si>
  <si>
    <t>event free/post bleeding, non-fatal MI, non-fatal Stroke, post-MI, post-stroke, cardiovascular death</t>
  </si>
  <si>
    <t xml:space="preserve">yearly </t>
  </si>
  <si>
    <t>one-way sensitivity analysis for each variable in the model. A tornado graph, presented by net benefits, illustrated the top 12 influential parameters. For the majority of the inputs, the 95% CIs were not available. We varied the input values by ± 20%. Since we took into account the cost of genetic testing to be more volatile, we varied its value by ± 50%. 
probabilistic sensitivity analysis for 10,000 Monte Carlo simulations. We used triangle distributions for all parameters and assigned 80 and 120% of the point estimates to their minimum and maximum values, respectively.</t>
  </si>
  <si>
    <t>Base-case analysis showed that universal clopidogrel treatment resulted in the lowest effectiveness (1.6932 QALYs) and the lowest life-long cost (2450 yuan). Universal ticagrelor treatment had an effectiveness of 1.6967 QALYs at a cost of 2567 yuan, for an ICER of 33875 yuan per QALY gained relative to universal clopidogrel treatment. CYP2C19 LOF-guided treatment had an effectiveness of 1.6975 QALYs at a cost of 2812 yuan, for an ICER of 84118 yuan per QALY gained relative to universal clopidogrel treatment. 
the universal ticagrelor treatment was cost–effective compared with universal clopidogrel treatment.</t>
  </si>
  <si>
    <t>https://doi.org/10.2217/pgs-2019-0050</t>
  </si>
  <si>
    <t>In the platelet inhibition and patient outcomes (PLATO) trial, only 1.5% of patients had multiple cardiovascular events [Citation13]; thus, we assumed that patients could not experience MI and stroke simultaneously in the first year. 
Bleeding events were not taken into account from the second year as bleeding events are rare during this time.
We considered that patients could not enter the new MI state from the post-stroke state because this would allow stroke patients to transition to a health state characterized by an improved quality of life and lower associated costs [26].  
The Markov model also assumed the post-1-year event rates under aspirin monotherapy to be equal regardless of their initial (first year) treatment strategies [17].</t>
  </si>
  <si>
    <t>Projected Cost-Effectiveness for 2 Gene-Drug Pairs Using a Multigene Panel for Patients Undergoing Percutaneous Coronary Intervention</t>
  </si>
  <si>
    <t>Hart</t>
  </si>
  <si>
    <t xml:space="preserve"> hypothetical cohort of 55-year-old patients presenting with CD. Specifically, the base case was pa_x0002_tients with NSTE-ACS undergoing PCI under consideration for
antiplatelet therapy, who then were prescribed treatment for mild to moderate pain management.</t>
  </si>
  <si>
    <t>CYP2C19 and CYP2D6</t>
  </si>
  <si>
    <t xml:space="preserve"> an array-based multigene panel that preemptively provided genetic information for CYP2C19 (testing for at least 1 of the following reduced-function alleles: *2, *3, *4, and *8) and CYP2D6 (testing for at least 1 of the following reduced-function alleles: *7, *9, *20, *27, *33, *35, and *41). Prasugrel was given to LOF CYP2C19. </t>
  </si>
  <si>
    <t xml:space="preserve">a single gene test that provided the same CYP2C19 genetic information; and universal clopidogrel.  </t>
  </si>
  <si>
    <t>15 months</t>
  </si>
  <si>
    <t>US payer</t>
  </si>
  <si>
    <t xml:space="preserve">Probabilities and costs data were obtained from the published literature. 
Given known ethnic differences in allele frequencies for vari_x0002_ation within CYP2C19 and CYP2D6, the estimate for population allele frequencies was derived by calculating the average among loss-of-function allele frequencies across African American, Caucasian, and Asian population  estimates.  The proportion of
the population with a CYP2D6 reduced-function allele is 7%. </t>
  </si>
  <si>
    <t>mean cost of the multigene test (MPGx) strategy was the sum of the cost of a multigene test, the cost of treatment selected (antiplatelet therapy and pain medication), and the added costs of an ADE or death.
The mean cost of the no test strategy was the sum of the cost of clopidogrel treatment, the cost of treatment of the randomly assigned pain medication, and the added costs of an ADE or death. A composite cost for MACE was used.27 Costs for
tramadol-related ADEs (drug A) were obtained from a 3-month
average28; subsequently, a 1-month average was calculated and
used in the model. Direct costs associated with gastrointestinal
(GI) toxicity monitoring were ascertained for acetamophen_x0002_related ADEs (drug B), and the average was calculated among all types of inpatient and outpatient surgical and medical manage_x0002_ment associated with the ADEs.</t>
  </si>
  <si>
    <t xml:space="preserve">MACE , non cardio-vascular death. QALY , Net Marginal Benefit.  </t>
  </si>
  <si>
    <t>For the parameter inputs, beta distributions for probabilities and utilities, gamma distributions for costs, and log-normal distribu_x0002_tions for hazard ratios were used for the sensitivity analyses.  In 2-way sensitivity analyses, we calculated the cost-effectiveness ratios while varying the risks of ADE on acetaminophen and tramadol, respectively, costs of multigene and single gene tests, and costs of acetamino_x0002_phen ADE. We assessed uncertainty within the model inputs using probabilistic sensitivity analysis with 1000 Monte Carlo simulations. Unless otherwise stated, high and low estimates derived from the bounds of the 95% confidence intervals (CIs) were used in the analysis. If the bounds of the 95% CIs were unavailable, ranges of 625% for probabilities and utilities and of 650% for costs were used. Net health benefit
assessments were performed using a $100,000/QALY WTP
threshold, and we examined alternative threshold values.</t>
  </si>
  <si>
    <t xml:space="preserve">Over 15 months, the multigene testing strategy was least costly
and yielded more QALYs compared to both the single gene strat_x0002_egy and the no test strategy. Total incremental costs were $1646
lower with incremental gains of 0.04 QALYs for multigene testing compared to single gene testing, and incremental costs were $11
368 lower with incremental gains of 0.17 QALY for multigene testing compared to no testing. The NMB for multigene testing
based on a $100 000/QALY WTP threshold was $5656 compared with single gene testing and $28 391 compared with no testing.
The MPGx strategy dominated both comparator strategies. </t>
  </si>
  <si>
    <t>DOI: 10.1016/j.jval.2019.05.015</t>
  </si>
  <si>
    <t xml:space="preserve">Based on previous evidence that patients on either clopidogrel or prasugrel experience the same probability of having a myocardial infarction event that will be symptomatic after 30 days. </t>
  </si>
  <si>
    <t>CYP2C19 genotype plus platelet reactivity-guided antiplatelet therapy in acute coronary syndrome patients: a decision analysis</t>
  </si>
  <si>
    <t>Jiang</t>
  </si>
  <si>
    <t xml:space="preserve"> a hypothetical
cohort of 60-year-old patients with acute coronary syndrome after a percutaneous coronary intervention. </t>
  </si>
  <si>
    <t>CYP2C19*1 and CYP2C19*17 were a wild-type allele and a gain-of-function (GOF) allele, respectively. CYP2C19*2, CYP2C19*3, CYP2C19*4, CYP2C19*5, CYP2C19*6, CYP2C19*7, and CYP2C19*8 alleles were LOF alleles</t>
  </si>
  <si>
    <t xml:space="preserve">CYP2C19 genotype plus platelet reactivity-guided antiplatelet therapy (PG-PRT). CYP2C19 LOF allele(s) carriers who were poor 
metabolizers received prasugrel or ticagrelor. CYP2C19 LOF allele(s) carriers who were intermediate metabolizers (IM) received high-dose clopidogrel (225 mg daily) and were tested for high on-treatment platelet reactivity (HTPR). IM
patients with HTPR were switched to prasugrel or ticagrelor. </t>
  </si>
  <si>
    <t>(a) universal clopidogrel (75 mg daily), (b) universal alternative antiplatelet therapy (prasugrel or ticagrelor).</t>
  </si>
  <si>
    <t xml:space="preserve">1 year decision tree and 40 year Markov </t>
  </si>
  <si>
    <t xml:space="preserve">UK health provider </t>
  </si>
  <si>
    <t xml:space="preserve">decision-tree Markov </t>
  </si>
  <si>
    <t xml:space="preserve">The model inputs were derived from the published literature. </t>
  </si>
  <si>
    <t xml:space="preserve">The one-time costs of clinical events (ST, MI, stroke, major bleeding,
cardiovascular death) and the monthly cost of stroke sur_x0002_vivor were retrieved from the inpatient diagnosis-related group data [26]. The cost of IHD event was derived from a cost-analysis on 1-year costs of IHD among ACS patients using the claims database [27]. The monthly costs of generic clopidogrel and alternative agents were obtained
from drug retail pricing [28]. The costs of genetic testing and platelet function testing were estimated from recent studies on genotype-guided antiplatelet therapy. </t>
  </si>
  <si>
    <t xml:space="preserve">ST (if a stent was placed), nonfatal stroke, nonfatal MI, major bleeding,  cardio_x0002_vascular death.  QALYs , ICER. </t>
  </si>
  <si>
    <t xml:space="preserve">Patients who had either no event or experienced nonfatal stroke, or survivors of major bleeding during the short_x0002_term period would enter the long-term model in the
health state of ischemic heart disease (IHD). In each year, IHD patients might experience acute MI. Those who had experienced and survived acute MI (during either short-term or long-term period) would be in the ‘MI’ state for 1 year for higher odds of 12-month mortality post-acute MI. Patients who survived acute MI after the
first year would transit to the ‘post-MI’ state and remain in this state until they died. </t>
  </si>
  <si>
    <t xml:space="preserve">One-way sensitivity analysis was carried out on all the model inputs. Ranges of sensitivity analysis were 95% CIs if available or ± 20% of base-case values. Probabilistic sensitivity analysis was carried out to determine the outcomes of each study arm 10 000 times by randomly sampling the value of all inputs simultaneously from a triangular probability distribution using Monte Carlo simulation. Mean differences in the costs and QALYs between study arms were presented with 95% CI. </t>
  </si>
  <si>
    <t>In the base-case analysis , PG-PRT was the least costly strategy (USD 71 887), with the highest QALYs gained (7.886 QALYs), and it therefore dominated both the universal clopidogrel and universal alter_x0002_native antiplatelet arms. On comparing the two universal treatment strategies, universal alternative antiplatelet therapy was more costly (USD 74 692 vs. USD 72 319) and effective (7.872 QALYs vs. 7.855 QALYs), with an ICER of 139 588 USD/QALY (exceeding WTP of 50 000 USD/QALY).</t>
  </si>
  <si>
    <t>10.1097/FPC.0000000000000177</t>
  </si>
  <si>
    <t xml:space="preserve">this study granulated the universal antiplatelet therapy (current care) by specifing different risks in patients with LOF and not-LOF. </t>
  </si>
  <si>
    <t>Maria</t>
  </si>
  <si>
    <t>Cost-effectiveness analysis of personalized antiplatelet therapy in patients with acute coronary syndrome</t>
  </si>
  <si>
    <t>hypothetical cohort of 60-year-old ACS patients undergoing PCI: Universal clopidogrel 75mg daily, universal alternative P2Y12 inhibitor (prasugrel 10 mg daily or ticagrelor 90 mg twice daily), PG-guided anti_x0002_platelet therapy and PRT-guided antiplatelet therapy</t>
  </si>
  <si>
    <t>four antiplatelet strategies: universal clopidogrel 75 mg daily, universal alternative P2Y12 inhibitor (prasugrel or ticagrelor), PG-guided therapy, and platelet reactivity testing-guided therapy.</t>
  </si>
  <si>
    <t>universal
antiplatelet therapies for ACS patients with PCI</t>
  </si>
  <si>
    <t xml:space="preserve">All patients would receive P2Y12 antiplatelet treat_x0002_ment for one year in a short-term decision tree model, 
and survivors would enter a life-long Markov model 
for maximum of 30 years with yearly cycle. </t>
  </si>
  <si>
    <t>US healthcare provider</t>
  </si>
  <si>
    <t>A simulated decision-analytic model</t>
  </si>
  <si>
    <t>Model inputs were derived from published literature and government website. US Medical Expenditure Panel Survey for utility scores</t>
  </si>
  <si>
    <t>Direct medical costs and quality-adjusted life years
(QALYs) gained were primary outcomes simulated
in the model from the perspective of US healthcare
provider.</t>
  </si>
  <si>
    <t>During the first year (short-term model), a patient might experience one of the clinical outcomes: no event, nonfatal myocardial infarction (MI), nonfatal stroke, major bleeding (nonfatal or fatal bleeding), stent thrombosis or cardiovascular death. Patients experienced stent
thrombosis would receive a repeated PCI. Patients who experienced no event, nonfatal stroke or survivors of major bleeding would start at the health state of ischemic heart disease (IHD) when they entered the longterm model. IHD patients would either stay at this state or experience acute MI in the following years. Survivors of acute MI (either in the short-term or longterm model) would stay at this state for 1 year before they transited to ‘post-MI’ state. Patients who entered the ‘post-MI’ state would remain in the same state until they died.</t>
  </si>
  <si>
    <t>All patients would receive P2Y12 antiplatelet treatment
for one year in a short-term decision tree model,
and survivors would enter a life-long Markov model
for maximum of 30 years with yearly cycle</t>
  </si>
  <si>
    <t>One-way sensitivity analysis showed the base-case results
to be robust that PG-guided therapy was the preferred
strategy throughout variation of all model inputs and
no threshold value was identified. The most influential
parameters were the transition probabilities from IHD
to death and post-MI state to death, followed by cost
of PCI and the utility value of IHD. extended the cost
range from US$50–350 to US$350–5000 and found
that PRT-guided therapy would become a preferred
therapy when genotyping cost higher than US$3121.
Universal alternative P2Y12 inhibitor would become the
cost-effective option when both the genetic and platelet
reactivity testing costs were extremely high (&gt;US$4635
and &gt;US$1537, respectively)</t>
  </si>
  <si>
    <t xml:space="preserve">PG-guided
therapy was the most effective arm (7.6249 QALYs)
with the lowest cost (US$75,208), and all three other options were therefore dominated by PGguided therapy. PRT-guided therapy also dominated (less costly by US$421 and more effective by 0.0258 QALYs) the universal clopidogrel arm. Universal alternative P2Y12 inhibitor gained higher QALYs than PRT-guided therapy (by 0.0057 QALYs) with ICER of US$315,263/QALY (over WTP threshold US$50,000/QALY) and PRT-guided therapy was therefore preferred over universal alternative agent. Comparing the two universal treatment arms, universal
alternative P2Y12 inhibitor was more effective and costly than universal clopidogrel (by 0.0315 QALYs and US$1376; ICER US$43,683/QALY). With the ICER
below WTP threshold, universal alternative P2Y12 inhibitor was preferred over universal clopidogrel. </t>
  </si>
  <si>
    <t>https://pubmed.ncbi.nlm.nih.gov/27167099/</t>
  </si>
  <si>
    <t>all patients received clopidogrel loading-dose 600 mg prior to PCI. Patients in universal treatment arms would receive maintenance dose of clopidogrel (75 mg daily) or an alternative P2Y12 inhibitor (prasugrel 10 mg daily or ticagrelor 90 mg
twice daily) without genetic or platelet reactivity testing. In the PG-guided arm, patients would be tested on CYP2C19 genotype before PCI. Noncarriers of
CYP2C19 LOF allele would be treated with clopidogrel 75 mg daily, whereas carriers of CYP2C19 LOF allele(s) would receive an alternative P2Y12 inhibitor. In the PRT-guided arm, platelet reactivity testing would be performed with VerifyNow P2Y12 assay (Accumetrics, CA, USA) in 6–12 h after clopidogrel
loading-dose [21]. Low responders, defined as P2Y12 reaction units (PRU) &gt; 208, would be switched to an alternative P2Y12 inhibitor (prasugrel 10 mg daily or
ticagrelor 90 mg twice daily) for maintenance therapy. Normal responders (PRU ≤ 208) would receive clopidogrel 75 mg daily. Patients in all four arms also received daily aspirin at a dose of 75–162 mg.The disutility of stent thrombosis was assumed to be similar to the disutility of nonfatal MI</t>
  </si>
  <si>
    <t>Direct medical costs, quality-adjusted life years (QALYs) gained, and incremental cost–effectiveness ratio simulated from perspective of US healthcare provider</t>
  </si>
  <si>
    <t>CYP2C19 LOF and GOF-Guided Antiplatelet Therapy in Patients with Acute Coronary Syndrome: A Cost-Effectiveness Analysis</t>
  </si>
  <si>
    <t>Hypothetical cohort of 60-year-old patients
with ACS undergoing PCI, managed by three antiplatelet
strategies</t>
  </si>
  <si>
    <t>simulate outcomes of three strategies: universal clopidogrel
(75 mg daily), universal alternative P2Y12 inhibitor (prasugrel
10 mg daily or ticagrelor 90 mg twice daily), and LOF/GOFguided
therapy (LOF/GOF allele carriers receiving alternative
P2Y12 inhibitor, wild-type patients receiving clopidogrel). Patients in all three
groups would receive a loading dose of clopidogrel 600 mg
prior to PCI and one-year DAPT (aspirin 75-162 mg plus a
P2Y12 inhibitor). In the universal clopidogrel and LOF/GOFguided
groups, patients were categorized by CYP2C19 genotype as carriers and non carriers of LOF allele(s). Non-carriers of LOF allele were further divided into two subgroups: GOF allele carriers (*17/*1, *17/*17) and wild-type patients (*1/ *1). In the universal clopidogrel arm, patients would not be genotyped and all patients would receive clopidogrel 75 mg daily. The probabilities of MACE, stent thrombosis and major bleeding in the universal clopidogrel group would be estimated according to the risk of events for different CYP2C19 genotypes. In the LOF/GOF-guided arm, patients would receive CYP2C19 genotype testing.Wild-type patients would receive standard dosing clopidogrel 75 mg daily, while GOF allele carriers and LOF allele carriers would receive alternative P2Y12 inhibitor (prasugrel 10 mg daily or ticagrelor 90 mg twice daily). In the universal alternative P2Y12 inhibitor group, all patients would receive prasugrel 10 mg daily or ticagrelor 90 mg twice daily.</t>
  </si>
  <si>
    <t>universal clopidogrel</t>
  </si>
  <si>
    <t>one year Dual antiplatelet therapy (DAPT), followed by a life-long Markov model for
maximum of 30 years with yearly cycle</t>
  </si>
  <si>
    <t>perspective of
US healthcare provider</t>
  </si>
  <si>
    <t>life-long decision-analytic model</t>
  </si>
  <si>
    <t>US
Medical Expenditure Panel Survey. One-time costs of nonfatal stroke,
nonfatal myocardial infarction, cardiovascular death, major
bleeding, and PCI were derived from the diagnosis-related
group data. The cost of ischemic heart disease treatment
was retrieved from a cost-analysis on one-year cost of ischemic
heart disease in patients with ACS using claims database</t>
  </si>
  <si>
    <t>The CYP2C19 genotype testing cost (USD 200; range
USD 50–350) was estimated from a recent economic evaluation
of genotype-guided antiplatelet therapy . The monthly
cost of generic clopidogrel (USD 12; range USD 6–18) and
alternative P2Y12 inhibitor (prasugrel or ticagrelor, USD 141;
range USD 120–171) were estimated from US retail price
. All costs and QALYs were discounted to year 2016 with
an annual rate of 3%.</t>
  </si>
  <si>
    <t>Base-case analysis found nonfatal myocardial infarction (5.62%) and stent thrombosis (1.2%) to be the lowest in universal alternative P2Y12 inhibitor arm, whereas nonfatal stroke (0.72%), cardiovascular death (2.42%), and major bleeding (2.73%) were lowest in LOF/GOF-guided group. LOF/GOF-guided arm gained the highest QALYs (7.5301 QALYs) at lowest life-long cost (USD 76,450). One-way sensitivity analysis showed base-case results were subject to the hazard ratio of cardiovascular death in carriers versus noncarriers of LOF allele and hazard ratio of cardiovascular death in non-carriers of LOF allele versus general patients. In probabilistic sensitivity analysis of 10,000 Monte Carlo simulations, LOF/GOF-guided therapy, universal alternative P2Y12 inhibitor, and universal clopidogrel were the preferred strategy (willingness-to-pay threshold = 50,000 USD/QALY) in 99.07%, 0.04%, and 0.89% of time, respectively.</t>
  </si>
  <si>
    <t>Health state transitions in the Markov model were adapted
from a model of antiplatelet therapy previously developed by
Main et al. Survivors (except patients with nonfatal myocardial
infarction) entered the Markov model in the state of
ischemic heart disease. In each yearly cycle, patients might
either experience no event (remain ischemic heart disease),
acute myocardial infarction or death. Survivors of acute myocardial
infarction had a high one-year mortality rate, and those
who survived during the first year post-acute myocardial infarction
would enter Bpost myocardial infarction^ state until
they died from all causes.</t>
  </si>
  <si>
    <t>In an extended one-way sensitivity analysis, explored the influence of genotype testing cost, the cost of the alternative P2Y12 inhibitor, and the prevalence of LOF
allele or GOF allele with extended ranges. The universal alternative
P2Y12 inhibitor would become the preferred strategy
over LOF/GOF-guided therapy when the prevalence of LOF
allele carriers or GOF allele carriers was extremely high (over
96.6% and 97.2%, respectively).</t>
  </si>
  <si>
    <t>The base-case
analysis found LOF/GOF-guided therapy to be the preferred
strategy with highest QALYs gained at lowest cost when compared
to universal clopidogrel and universal alternative P2Y12
inhibitor. Probabilistic sensitivity analysis further supported
LOF/GOF-guided therapy to be the preferred option in
99.07% of the time atWTP threshold of 50,000 USD/QALYs.</t>
  </si>
  <si>
    <t>https://ovidsp.ovid.com/ovidweb.cgi?T=JS&amp;CSC=Y&amp;NEWS=N&amp;PAGE=fulltext&amp;D=med14&amp;DO=10.1007%2fs10557-016-6705-y</t>
  </si>
  <si>
    <t>clinical event rates, qualityadjusted
life-years (QALYs) gained and direct medical costs
from perspective of US healthcare provider.</t>
  </si>
  <si>
    <t>Cost-effectiveness of genotype-guided and dual antiplatelet therapies in acute coronary syndrome</t>
  </si>
  <si>
    <t>Kazi</t>
  </si>
  <si>
    <t>Patients having percutaneous coronary intervention
for ACS.</t>
  </si>
  <si>
    <t>5 strategies of dual antiplatelet therapy. Five strategies were examined: generic clopidogrel,
prasugrel, ticagrelor, and genotyping for polymorphisms of
CYP2C19 with carriers of loss-of-function alleles receiving either
ticagrelor (genotyping with ticagrelor) or prasugrel (genotyping
with prasugrel) and noncarriers receiving clopidogrel.</t>
  </si>
  <si>
    <t>compared the drug-only strategies (to distinguish
the drug effect from the effect of genetic testing),
then we examined the effect of genotyping on prasugrel
and ticagrelor separately; finally, we did a global comparison
across all 5 strategies</t>
  </si>
  <si>
    <t>lifetime</t>
  </si>
  <si>
    <t>Societal.</t>
  </si>
  <si>
    <t>discrete-state Markov model, decision analytic model</t>
  </si>
  <si>
    <t>Published literature, Medicare claims, and life tables.</t>
  </si>
  <si>
    <t>reported results in 2011 U.S. dollars, qualityadjusted
life-years (QALYs), and incremental costeffectiveness
ratios (ICERs). assumed a base-case cost of $30 per month for
generic clopidogrel and included the current average
wholesale price of the proprietary formulation ($218 per
month) in the sensitivity analyses (82). We assumed the
costs of prasugrel and ticagrelor to equal their average
wholesale price ($220 and $261 per month for prasugrel
and ticagrelor, respectively) (82). We estimated the cost of
genotyping from a survey of retail prices of commercially
available tests but included the estimated unit cost of
point-of-care tests in the range tested in sensitivity analyses</t>
  </si>
  <si>
    <t>After the initial PCI, patients were at risk for stent
thrombosis, nonfatal MI (unrelated to stent thrombosis),
percutaneous or surgical revascularization, intracranial and
extracranial bleeding, and death of cardiovascular and noncardiovascular
causes. Three
additional states were modeled: Post-MI (patients who had
an MI after entering the model had an increased risk for
future MIs and cardiovascular death); intracranial bleed;
and a “steady state,” into which all patients entered after a
coronary artery bypass graft or 4 years after their initial
PCI, whichever was sooner. The steady state accounted for
age-specific medical costs and QALYs without tracking individual
clinical events</t>
  </si>
  <si>
    <t>Stronger associations between
genotype and thrombotic outcomes rendered ticagrelor substantially
less cost-effective ($104 800 per QALY). Genotyping with
prasugrel was the preferred therapy among patients who could not
tolerate ticagrelor. Conducted probabilistic and deterministic sensivity analysis</t>
  </si>
  <si>
    <t>The clopidogrel strategy produced
$179 301 in costs and 9.428 QALYs. Genotyping with prasugrel
was superior to prasugrel alone, with an ICER of $35 800 per
QALY relative to clopidogrel. Genotyping with ticagrelor was more
effective than genotyping with prasugrel ($30 200 per QALY relative
to clopidogrel). Ticagrelor was the most effective strategy
($52 600 per QALY relative to genotyping with ticagrelor).</t>
  </si>
  <si>
    <t>https://ovidsp.ovid.com/ovidweb.cgi?T=JS&amp;CSC=Y&amp;NEWS=N&amp;PAGE=fulltext&amp;D=med11&amp;DO=10.7326%2fM13-1999</t>
  </si>
  <si>
    <t>Direct medical costs, quality-adjusted lifeyears
(QALYs), and incremental cost-effectiveness ratios (ICERs).</t>
  </si>
  <si>
    <t>Cost-effectiveness of CYP2C19-guided antiplatelet therapy for acute coronary syndromes in Singapore</t>
  </si>
  <si>
    <t>Kim</t>
  </si>
  <si>
    <t>Singapore</t>
  </si>
  <si>
    <t>hypothetical cohort of Singaporean patients aged 62
years old at the time of ACS onset as this resembled the
demographic of patients enrolled in clinical trials</t>
  </si>
  <si>
    <t>Three dual antiplatelet
strategies were considered: universal clopidogrel, genotype-guided, and universal ticagrelor.</t>
  </si>
  <si>
    <t>1 year</t>
  </si>
  <si>
    <t>Singapore
healthcare payer’s perspective over a 1-year time horizon
for ACS patients undergoing PCI</t>
  </si>
  <si>
    <t>decision-tree model</t>
  </si>
  <si>
    <t>Genotyping and direct medical costs were
obtained from local sources, in-house pharmacy
database.</t>
  </si>
  <si>
    <t>na</t>
  </si>
  <si>
    <t>Probabilistic sensitivity analysis revealed that genotype-guided was the
most cost-effective strategy when the WTP threshold was between SGD 70,000 to 100,000.</t>
  </si>
  <si>
    <t>Both genotype-guided (72,158
SGD/QALY) and universal ticagrelor (82,269 SGD/QALY) were considered cost-effective based on a willingness-to-pay
(WTP) threshold of SGD 88,991. In our secondary analysis, the ICER for universal ticagrelor was 114,998 SGD/QALY
when genotype-guided was taken as a reference</t>
  </si>
  <si>
    <t>https://ovidsp.ovid.com/ovidweb.cgi?T=JS&amp;CSC=Y&amp;NEWS=N&amp;PAGE=fulltext&amp;D=med19&amp;DO=10.1038%2fs41397-020-00204-6</t>
  </si>
  <si>
    <t>incremental cost-effectiveness ratio (ICER) compared to universal clopidogrel.</t>
  </si>
  <si>
    <t>Cost-Effectiveness of Strategies to Personalize the Selection of P2Y&lt;sub&gt;12&lt;/sub&gt; Inhibitors in Patients with Acute Coronary Syndrome</t>
  </si>
  <si>
    <t>a hypothetical cohort of patients
aged 62 years with ACS requiring DAPT similar to clinical trial data . assumed that 72% of patients had
a planned invasive treatment strategy and 64% would
have PCI performed.</t>
  </si>
  <si>
    <t>six selection strategies for P2Y12 inhibitors in patients with
ACS: (1) clopidogrel for all patients (universal clopidogrel);
(2) clopidogrel for all patients followed by PRA testing and
switching clopidogrel non-responders to ticagrelor
(clopidogrel + phenotype); (3) selection based on CYP2C19
genotype where ticagrelor is reserved for poor metabolizers
(two LOF alleles) and clopidogrel for all other genotypes (genotype + conservative ticagrelor); (4) selection based on
CYP2C19 genotype where ticagrelor is used for both intermediate (one LOF allele) and poor metabolizers and clopidogrel
for all other genotypes (genotype + liberal ticagrelor use); (5)
based on both genotype and phenotype in which ticagrelor is
used in CYP2C19 poor metabolizers, a phenotype-driven approach is used for intermediate metabolizers (to identify intermediate metabolizers with HTPR), and clopidogrel used for
all other genotypes (genotype + phenotype); and (6) ticagrelor
for all patients (universal ticagrelor).</t>
  </si>
  <si>
    <t>the US health care sector’s perspective and includes formal health care sector costs paid by
third-party payers</t>
  </si>
  <si>
    <t>Decision tree and markov model</t>
  </si>
  <si>
    <t xml:space="preserve">a targeted review of the
literature and the opinion of senior authors, Bleeding risk was estimated
using the Thrombolysis in Myocardial Infarction criteria and
clinical trial data, For effectiveness inputs (MI, ischemic stroke), 12-
month risk ratios were obtained from clinical trial data and
included in the model. </t>
  </si>
  <si>
    <t>Daily cost of antiplatelet agents was calculated from the
average wholesale price available from RedBook® [39]. The
cost of acute care for the index hospitalization was extracted
from Healthcare Cost and Utilization Project (HCUP) national
statistics [54]. Costs for the short-term (initial hospitalization)
and long-term (years 1–3 or later) complications (recurrent
MI, ischemic stroke, ICH, or non-ICH major bleeding) were
derived from HCUP national statistics and previous reports in
the literature [40, 42, 54, 55]. The expected cost of PRA and
genotyping were extracted from the Clinical Laboratory Fee
Schedule data [43]. All cost inputs were converted to 2017 US
dollars using the Consumer Price Index for Medical Care</t>
  </si>
  <si>
    <t>two Markov states, life and death</t>
  </si>
  <si>
    <t>1 year cycles using agedependent mortality rates, adjusted for survival post-ACS,
until the annual mortality for each strategy was greater than
90%</t>
  </si>
  <si>
    <t>. Sensitivity analyses were performed on all model inputs to assess
their influence on the incremental cost-effectiveness</t>
  </si>
  <si>
    <t>n the base case analysis, incremental cost-effectiveness ratios (ICER) for the clopidogrel + phenotype, genotype + liberal
ticagrelor, and universal ticagrelor strategies were $12,119/QALY, $29,412/QALY, and $142,456/QALY, respectively. Genotype
+ conservative ticagrelor and genotype + phenotype were not cost-effective due to second-order dominance. Genotype + liberal
ticagrelor compared to clopidogrel + phenotype demonstrated the highest acceptance (97%) at a willingness to pay (WTP)
threshold of $100,000/QALY.</t>
  </si>
  <si>
    <t>https://ovidsp.ovid.com/ovidweb.cgi?T=JS&amp;CSC=Y&amp;NEWS=N&amp;PAGE=fulltext&amp;D=med16&amp;DO=10.1007%2fs10557-019-06896-8</t>
  </si>
  <si>
    <t xml:space="preserve"> Lifetime costs were adjusted to 2017 US dollars; quality-adjusted lifeyears (QALYs) were projected using a Markov model. The primary endpoint was the incremental cost-effectiveness compared to
the next best option along the cost-effectiveness continuum.</t>
  </si>
  <si>
    <t>Cost-effectiveness of CYP2C19-guided antiplatelet therapy in patients with acute coronary syndrome and percutaneous coronary intervention informed by real-world data</t>
  </si>
  <si>
    <t>Limdi</t>
  </si>
  <si>
    <t>high-risk patients with ACS
who underwent PCI</t>
  </si>
  <si>
    <t>The primary strategies  compared were universal
empiric clopidogrel (base case), universal ticagrelor, and
CYP2C19 genotype-guided escalation. The secondary strategies included strategies commonly
implemented in practice, wherein all patients are prescribed
ticagrelor for the first 30 days post PCI, followed by universal
de-escalation to clopidogrel (without genotyping) or
genotype-guided de-escalation to clopidogrel only in
patients without an LOF allele for the remaining 11 months</t>
  </si>
  <si>
    <t>universal empiric clopidogrel (base case), universal ticagrelor, and genotype-guided escalation also explore
secondary strategies commonly implemented in practice, wherein all patients are prescribed ticagrelor for 30 days post PCI. After
30 days, all patients are switched to clopidogrel irrespective of genotype (nonguided de-escalation) or to clopidogrel only if
patients do not harbor an LOF allele (genotype-guided de-escalation).</t>
  </si>
  <si>
    <t>1 year time horizon</t>
  </si>
  <si>
    <t>simulate costs
and outcomes across treatment strategies using the payer
perspective. present results in 2016 U.S. dollars, quality-adjusted
life years (QALYs), and incremental cost-effectiveness
ratios (ICERs). ICERs were calculated using the difference
in cost divided by the difference in their effect. Strategies
are considered cost-effective if the associated ICER is
below the willingness-to-pay (WTP) threshold of $100,000
per QALY</t>
  </si>
  <si>
    <t>Decision-analytic model
simulating outcomes of five
strategies over a 1-year
horizon</t>
  </si>
  <si>
    <t>Using these real-world effectiveness data, we conducted
a CEA of genotype-guided DAPT versus empiric DAPT
following ACS and PCI. Unlike prior efforts, which conducted
CEA using data from clinical trials, our analysis is
based on event rates observed in routine clinical practice. clinical trials, observational
data, U.S. life tables, Medicare claims, guidelines, and other
publications.</t>
  </si>
  <si>
    <t>included
direct medical costs (such as admissions, procedures, clinical
visits, and drugs) and induced costs (such as cost of
procedural complications) but not indirect costs (such as
lost wages and caregiver costs). Cost estimates were derived
from Medicare reimbursement rates, the Nationwide Inpatient
Sample, and key publications in the health economics literature. estimated age-specific costs from the
Agency for Healthcare Research and Quality’s Medical
Expenditure Panel Survey</t>
  </si>
  <si>
    <t>assumed current monthly prescription costs (goodrx.
com) for generic clopidogrel (base case $10/month; range
$5–60/month), and ticagrelor (base case $360/month; range
$20–460/month) in the sensitivity analyses. The 6-month
average costs were used as the reference. We estimated cost
of genotyping (base case $100/test) from a survey of retail
process of commercially available tests but included a range
($50–250/test). Sensitivity analysis also revealed our primary and secondary
findings were robust to assumptions made about
bleeding risk among ticagrelor versus clopidogrel users. Probabilistic sensitivity analysis showed that results
were most sensitive to assumptions about the risk of post-
PCI myocardial infarction. genotype-guided escalation
had the highest probability of being cost-effective when
compared with universal clopidogrel or universal ticagrelor
across all conventional WTP thresholds.</t>
  </si>
  <si>
    <t>Compared with universal clopidogrel, both universal
ticagrelor and genotype-guided escalation were superior with improvement in quality-adjusted life years (QALY’s). Only
genotype-guided escalation was cost-effective ($42,365/QALY) and demonstrated the highest probability of being cost-effective
across conventional willingness-to-pay thresholds. In the secondary analysis, compared with the nonguided de-escalation
strategy, although genotype-guided de-escalation and universal ticagrelor were more effective, with ICER of $188,680/QALY
and $678,215/QALY, respectively, they were not cost-effective. CYP2C19 genotype-guided antiplatelet prescribing is costeffective
compared with either universal clopidogrel or universal ticagrelor using real-world implementation data. The secondary
analysis suggests genotype-guided and nonguided de-escalation may be viable strategies, needing further evaluation.</t>
  </si>
  <si>
    <t>https://ovidsp.ovid.com/ovidweb.cgi?T=JS&amp;CSC=Y&amp;NEWS=N&amp;PAGE=fulltext&amp;D=med17&amp;DO=10.1038%2fs41397-020-0162-5</t>
  </si>
  <si>
    <t>For each strategy, we simulated
the expected outcomes for 2,000,000 ACS patients
(Table 1) following PCI over a 1-year time horizon</t>
  </si>
  <si>
    <t>Cost-utility analysis of genotype-guided antiplatelet therapy in patients with moderate-to- high risk acute coronary syndrome and planned percutaneous coronary intervention</t>
  </si>
  <si>
    <t>Patel</t>
  </si>
  <si>
    <t>The model was designed to compare
prasugrel plus aspirin, clopidogrel plus aspirin, and
genotype-guided therapy for patients receiving
bare-metal stent or drug-eluting stent. In the
genotype-guided therapy arm, patients with
CYP2C19 reduced-function polymorphism (at least
one of the following reduced-function alleles: *1A,
*2A, *3, *4, *5A, *6, *7, *8, *9, *10, *12, *13, *14,
*17) were given prasugrel plus aspirin whereas
patients without the polymorphism were given
clopidogrel plus aspirin.</t>
  </si>
  <si>
    <t>prasugrel or generic clopidogrel treatment without genotyping,</t>
  </si>
  <si>
    <t xml:space="preserve"> US healthcare provider’s perspective. </t>
  </si>
  <si>
    <t>decision-analysis mode</t>
  </si>
  <si>
    <t xml:space="preserve"> Clopidogrel cost USD19,147 and provided 10.03
QALYs versus prasugrel (USD21,425, 10.04 QALYs) and
genotype-guided therapy (USD19,231, 10.05 QALYs). The
ICUR of genotype-guided therapy compared with
clopidogrel was USD4,200. Genotype-guided therapy
provided more QALYs at lower costs compared with
prasugrel. Results were sensitive to the cost of clopidogrel
and relative risk of myocardial infarction and stroke
between CYP2C19 variant vs. non-variant. Net monetary
benefit curves showed that genotype-guided therapy had
at least 70% likelihood of being the most cost-effective alternative at a willingness-to-pay of USD100,000/QALY.
In comparison with clopidogrel, prasugrel therapy was
more cost-effective with &lt;21% certainty at willingness-topay of &gt;USD170,000/QALY. Our modeling analyses suggest that
genotype-guided therapy is a cost-effective strategy in
patients with acute coronary syndrome undergoing
planned percutaneous coronary intervention.</t>
  </si>
  <si>
    <t>https://pubmed.ncbi.nlm.nih.gov/25243032/</t>
  </si>
  <si>
    <t>Outcomes modeled were divided into two periods,
immediate hospitalization (first 30 days) and longterm (2nd to 15th month), based on the time frames
that most clinical trials reported results.</t>
  </si>
  <si>
    <t>Both
costs and quality-adjusted life years (QALYs)
associated with clinical outcomes were evaluated
and extrapolated to the patients' life expectancy</t>
  </si>
  <si>
    <t>Cost-effectiveness of cytochrome P450 2C19 2 genotype-guided selection of clopidogrel or ticagrelor in Chinese patients with acute coronary syndrome</t>
  </si>
  <si>
    <t>Wang</t>
  </si>
  <si>
    <t>Hong Kong</t>
  </si>
  <si>
    <t xml:space="preserve"> hypothetical cohort of North Asian ACS
patients aged 60 who underwent PCI after ACS.</t>
  </si>
  <si>
    <t>CYP2C19 *2</t>
  </si>
  <si>
    <t>: (i) to universally treat
all patients with clopidogrel without performing genetic testing; (ii) to
universally treat all patients with ticagrelor without performing genetic
testing; and (iii) to perform genetic testing to select CYP2C19*2 allele
carriers for ticagrelor treatment and wild-type patients for clopidogrel
treatment. For all three strategies, patients received dual antiplatelet
treatment (either ticagrelor or clopidogrel in combination with aspirin)
during the first year, followed by aspirin monotherapy in subsequent years.
Ticagrelor was given in a loading dose of 180 mg followed by a 90 mg
dose twice a day. Clopidogrel was given in a loading dose of 300 mg
followed by a 75 mg dose daily.</t>
  </si>
  <si>
    <t>lifetime (until 85 years old</t>
  </si>
  <si>
    <t>the Hong Kong health-care provider’s perspective</t>
  </si>
  <si>
    <t>two-part decision-analytic model, comprising a 1-year decision tree18
(Figure 1) and a life-long Markov model. 1-year decision tree and post-1-year
Markov model were used to estimate the mean lifetime costs and qualityadjusted life years (QALYs) associated with three treatment strategies.</t>
  </si>
  <si>
    <t>m published clinical
trials25,26 and published decision-analytic models.21,</t>
  </si>
  <si>
    <t>All costs were estimated in Hong Kong dollars (HKDs), and converted to US
dollars (USDs) using the conversion rate USD1 = HKD7.8 as at 16 April
2016. The cost of CYP2C19*2 allele testing was assumed to be USD200 (with a
range of USD15–USD400) based on international experience,13,38 including
the costs for obtaining a sample and laboratory service. The 1-year costs of nonfatal MI (HKD72 719, USD9323) and nonfatal
stroke (HKD24 452, USD3135) were derived from published local data.4</t>
  </si>
  <si>
    <t>e allocated to one of the three health states: ‘No-event’, ‘PostMI’ or ‘Post-stroke’ in the long-term Markov model. All
patients entered one of the initial three health states of Markov model
corresponding to the clinical end points in the decision tree: ‘No-event’
(including patients who experienced ST or bleeding but survived), ‘Post-MI’
(patients surviving an MI and having an increased risk for future MI, strokes
or cardiovascular death) or ‘Post-stroke’ (patients surviving a stroke and
having an increased risk for future strokes or cardiovascular death). Patients in any health state could experience acute MI, acute stroke or
cardiovascular/non-cardiovascular death in any year. Compared with
patients in the ‘No-event’ health state, those in the ‘Post-MI’ and ‘Poststroke’ states carried a higher risk of (recurrent) acute events.</t>
  </si>
  <si>
    <t>yearly</t>
  </si>
  <si>
    <t>Sensitivity analysis demonstrated that with the cost of genotype testing up to USD400, CYP2C19*2
genotype-guided antiplatelet treatment remained a cost-effective strategy compared with either universal use of generic
clopidogrel or ticagrelor in post-PCI ACS patients in Hong Kong.</t>
  </si>
  <si>
    <t xml:space="preserve"> genotype-guided treatment and universal ticagrelor
produce greater QALYs than universal clopidogrel at higher costs. Compared with universal clopidogrel, genotype-guided
treatment yielded an ICER of USD2560 per QALY saved. Compared with universal clopidogrel, universal ticagrelor yielded an
ICER of USD7254 per QALY saved. However, universal ticagrelor
cost more, but generated fewer QALYs than the genotyping
strategy, meaning that it was ‘dominated’ by the genotyping
strategy. </t>
  </si>
  <si>
    <t>https://ovidsp.ovid.com/ovidweb.cgi?T=JS&amp;CSC=Y&amp;NEWS=N&amp;PAGE=fulltext&amp;D=med15&amp;DO=10.1038%2ftpj.2016.94</t>
  </si>
  <si>
    <t>Costs and health outcomes were discounted at 3% annually. The
treatment strategy was considered as cost-effective if it was associated
with an ICER less than the USD42 423/QALY (1 per capita gross domestic
product (GDP) of Hong Kong in the year 2015,49 as recommended by the
World Health Organization. a two-part model consisting of a 1-year
decision tree and a lifetime Markov model was built to simulate the progress of a typical cohort of 60-year-old Chinese patients
until age 85 years and compare three treatment strategies. The 1-year decision tree included the following events: nonfatal
MI, nonfatal stroke, stent thrombosis (ST), fatal bleeding, and death from
vascular or nonvascular causes.</t>
  </si>
  <si>
    <t>costs (in 2016 USD), QALYs
and incremental cost-effectiveness ratios (ICERs)</t>
  </si>
  <si>
    <t>Cost analysis of CYP2C19 genetic testing in percutaneous coronary intervention patients</t>
  </si>
  <si>
    <t>Huxley</t>
  </si>
  <si>
    <t>Cost-Effectiveness of Multigene Pharmacogenetic Testing in Patients With Acute Coronary Syndrome After Percutaneous Coronary Intervention</t>
  </si>
  <si>
    <t xml:space="preserve">Dong </t>
  </si>
  <si>
    <t>https://doi.org/10.1016/j.jval.2019.08.002</t>
  </si>
  <si>
    <t>hybrid decision tree/Markov model</t>
  </si>
  <si>
    <t>multigene testing (CYP2C19, SLCO1B1, CYP2C9, VKORC1) compared with singlegene
testing (CYP2C19)</t>
  </si>
  <si>
    <t>cost (2016 US dollar) per quality-adjusted life years (QALYs) gained. Costs and QALYs
were discounted at 3% per year.</t>
  </si>
  <si>
    <t>Probabilistic sensitivity analysis (PSA) varied input parameters (event probabilities,
prescription costs, event costs, health-state utilities) to estimate changes in the cost per QALY gained.</t>
  </si>
  <si>
    <t>Base-case–discounted results indicated that the cost per QALY gained was $59 876, $33 512, and $3780 at 12 months,
24 months, and lifetime, respectively, for multigene testing compared with standard of care. Single-gene testing was
dominated by multigene testing at all time horizons. PSA-discounted results indicated that, at the $50 000/QALY gained
willingness-to-pay threshold, multigene testing had the highest probability of cost-effectiveness in the majority of
simulations at 24 months (61%) and over the lifetime (81%). On the basis of projected simulations, multigene testing for Medicare patients post-PCI for ACS has a higher
probability of being cost-effective over 24 months and the lifetime compared with single-gene testing and standard of
care and could help optimize medication prescribing to improve patient outcomes.</t>
  </si>
  <si>
    <t>Three time horizons were
investigated: 12 months, 24 months, and lifetime</t>
  </si>
  <si>
    <t>simulate patients post-PCI for ACS requiring antiplatelet
therapy (CYP2C19 to guide antiplatelet selection), statin therapy (SLCO1B1 to guide statin selection), and anticoagulant
therapy in those that develop atrial fibrillation (CYP2C9/VKORC1 to guide warfarin dose) over 12 months, 24 months, and
lifetime. 3 genotyping strategies for Medicare patients
post-PCI for ACS from the perspective of Medicare: (1) standard of
care (no genotyping), (2) single-gene testing (CYP2C19 for antiplatelet
therapy selection), and (3) multigene testing (CYP2C19 for antiplatelet therapy selection, SLCO1B1 for statin selection, and
CYP2C9/VKORC1 for warfarin dosing). Patients
entered one of the 3 interventions and remained on an antiplatelet
therapy for 12 months.</t>
  </si>
  <si>
    <t>closed cohort of 300 000 Medicare beneficiaries 65 years old
post-PCI for ACS</t>
  </si>
  <si>
    <t>Medicare’s perspective.</t>
  </si>
  <si>
    <t>standard of care.</t>
  </si>
  <si>
    <t>CYP2C19 single-gene testing cost was approximated using the
Centers for Medicare and Medicaid Services 2016 Clinical Diagnostic
Laboratory Fee Schedule.31 Multigene testing cost was
approximated from peer-reviewed studies and expert opinion.6,14
Medication costs were estimated by averaging 6 months of
recently reported monthly costs in the GoodRx database. Event
costs associated with MI, stroke, and major bleed were derived
from the Centers for Medicare and Medicaid Services 2015 Inpatient
Charge Data.34 Costs for events that were not available in the
Medicare Inpatient Charge Data were derived from published
cost-effectiveness analyses.33,35,36 The medical care expenditure
component of the consumer price index (CPI) from the US Bureau
of Labor Statistics47 was used to convert prices from various base
years to 2016 US dollars, the last full year of available CPI data.47
Costs were discounted at 3% per year</t>
  </si>
  <si>
    <t>United States Department of Labor Bureau of Labor Statistics. Consumer Price
Index (CPI) Database, GoodRx database, Centers for Medicare and Medicaid Services 2015 Inpatient
Charge Data</t>
  </si>
  <si>
    <t>12 MONTHS OvER LIFETIME. Development
of new-onset atrial fibrillation was assessed at 12 months in
the decision tree and then every 12 months during the lifetime of
the patient population using a Markov node starting at 24 months.
Three-month outcomes after atrial fibrillation diagnosis and
initiation of warfarin included no event, major bleed, thromboembolic
event, and all-cause mortality.</t>
  </si>
  <si>
    <t>Cardiovascular
outcomes based on statin adherence were reported at 24
months, which included no event, stroke, MI, cardiovascularrelated
death, and non-cardiovascular-related death. Development
of new-onset atrial fibrillation was assessed at 12 months in
the decision tree and then every 12 months during the lifetime of
the patient population using a Markov node starting at 24 months.
Three-month outcomes after atrial fibrillation diagnosis and
initiation of warfarin included no event, major bleed, thromboembolic
event, and all-cause mortality</t>
  </si>
  <si>
    <t>January</t>
  </si>
  <si>
    <t xml:space="preserve">Clop: build table of parameters  </t>
  </si>
  <si>
    <t xml:space="preserve">Clop: code model </t>
  </si>
  <si>
    <t xml:space="preserve">Clop: run analysis </t>
  </si>
  <si>
    <t xml:space="preserve">Clop: present results </t>
  </si>
  <si>
    <t xml:space="preserve">Clop: write report </t>
  </si>
  <si>
    <t>MSR: Adr V Cost:</t>
  </si>
  <si>
    <t xml:space="preserve">Clop: develop list of parameter </t>
  </si>
  <si>
    <t xml:space="preserve">parmeter list </t>
  </si>
  <si>
    <t xml:space="preserve">mean </t>
  </si>
  <si>
    <t xml:space="preserve">CI </t>
  </si>
  <si>
    <t xml:space="preserve">start age </t>
  </si>
  <si>
    <t xml:space="preserve">Hulme </t>
  </si>
  <si>
    <t xml:space="preserve">male </t>
  </si>
  <si>
    <t xml:space="preserve">female </t>
  </si>
  <si>
    <t xml:space="preserve">total </t>
  </si>
  <si>
    <t xml:space="preserve">crude survival </t>
  </si>
  <si>
    <t>CI-L</t>
  </si>
  <si>
    <t>CI-H</t>
  </si>
  <si>
    <t>N</t>
  </si>
  <si>
    <t>Proportion</t>
  </si>
  <si>
    <t>proportion of clopidogrel in standard care</t>
  </si>
  <si>
    <t>proportion of ticagrelor in standard care</t>
  </si>
  <si>
    <t xml:space="preserve">proportion of prasugrel in standard care </t>
  </si>
  <si>
    <t>AP</t>
  </si>
  <si>
    <t>Clopidogrel</t>
  </si>
  <si>
    <t>Prasugrel</t>
  </si>
  <si>
    <t>Ticagrelor</t>
  </si>
  <si>
    <t>Pufulete</t>
  </si>
  <si>
    <t>NICE NG185</t>
  </si>
  <si>
    <t xml:space="preserve">Pufulete </t>
  </si>
  <si>
    <t>NR</t>
  </si>
  <si>
    <t>MI</t>
  </si>
  <si>
    <t>Stroke</t>
  </si>
  <si>
    <t>.</t>
  </si>
  <si>
    <t>all cause mortality</t>
  </si>
  <si>
    <t xml:space="preserve">NICE(Hulme) </t>
  </si>
  <si>
    <t>Krishnamurthy</t>
  </si>
  <si>
    <t>Outcome</t>
  </si>
  <si>
    <t>CI_L</t>
  </si>
  <si>
    <t>CI_H</t>
  </si>
  <si>
    <t>event rate for AP</t>
  </si>
  <si>
    <t>event rate for AT</t>
  </si>
  <si>
    <t xml:space="preserve">total event </t>
  </si>
  <si>
    <t>Major Bleeding</t>
  </si>
  <si>
    <t xml:space="preserve">Minor Bleeding </t>
  </si>
  <si>
    <t xml:space="preserve">All-cause Mortality </t>
  </si>
  <si>
    <t xml:space="preserve">cardiovascular mortality </t>
  </si>
  <si>
    <t>HR_AP_vs_AC</t>
  </si>
  <si>
    <t>HR_AT_vs_AC</t>
  </si>
  <si>
    <t>NICE-NG185</t>
  </si>
  <si>
    <t>All-cause mortality</t>
  </si>
  <si>
    <t>Reinfarction</t>
  </si>
  <si>
    <t>Major bleed</t>
  </si>
  <si>
    <t>Minor bleed</t>
  </si>
  <si>
    <t>All-cause mortality with prasugrel</t>
  </si>
  <si>
    <t>Reinfarction with prasugrel</t>
  </si>
  <si>
    <t xml:space="preserve">Stroke with prasugrel </t>
  </si>
  <si>
    <t>All-cause mortality with ticagrelor</t>
  </si>
  <si>
    <t>Reinfarction with ticagrelor</t>
  </si>
  <si>
    <t>Stroke with ticagrelor</t>
  </si>
  <si>
    <t>SE</t>
  </si>
  <si>
    <t>Lower CI</t>
  </si>
  <si>
    <t>Upper CI</t>
  </si>
  <si>
    <t>All-cause mortality with clopidogrel</t>
  </si>
  <si>
    <t>Reinfarction with clopidogrel</t>
  </si>
  <si>
    <t>Stroke with clopidogrel</t>
  </si>
  <si>
    <t xml:space="preserve">source </t>
  </si>
  <si>
    <t>Swedeheart</t>
  </si>
  <si>
    <t>major bleeding</t>
  </si>
  <si>
    <t xml:space="preserve">minor bleeding </t>
  </si>
  <si>
    <t xml:space="preserve">sample size </t>
  </si>
  <si>
    <t>NICE-NG186</t>
  </si>
  <si>
    <t>NICE-NG187</t>
  </si>
  <si>
    <t>NICE-NG188</t>
  </si>
  <si>
    <t>NICE-NG189</t>
  </si>
  <si>
    <t>NICE-NG190</t>
  </si>
  <si>
    <t>NICE-NG191</t>
  </si>
  <si>
    <t>NICE-NG192</t>
  </si>
  <si>
    <t>NICE-NG193</t>
  </si>
  <si>
    <t>Major bleeding with clopidogrel</t>
  </si>
  <si>
    <t>Minor bleeding with clopidogrel</t>
  </si>
  <si>
    <t>Major bleeding with ticagrelor</t>
  </si>
  <si>
    <t>Minor bleeding with ticagrelor</t>
  </si>
  <si>
    <t>Major bleeding with prasugrel</t>
  </si>
  <si>
    <t xml:space="preserve">Minor bleeding with prasugrel </t>
  </si>
  <si>
    <t xml:space="preserve">Ionova , Wang </t>
  </si>
  <si>
    <t>prevalance of Loss of Function allele in Eu ethniciy</t>
  </si>
  <si>
    <t xml:space="preserve">prevalance of Loss of Function allele in Asian ethnicity </t>
  </si>
  <si>
    <t>All-cause mortality with clopidogrel in no-LOF</t>
  </si>
  <si>
    <t>Reinfarction with clopidogrel no-LOF</t>
  </si>
  <si>
    <t>Stroke with clopidogrel no-LOF</t>
  </si>
  <si>
    <t>Major bleeding with clopidogrel no-LOF</t>
  </si>
  <si>
    <t>Minor bleeding with clopidogrel no-LOF</t>
  </si>
  <si>
    <t xml:space="preserve">prevalance of at least one LOF in European-ancestry </t>
  </si>
  <si>
    <t>Wang et al</t>
  </si>
  <si>
    <t>prevalance of  LOF in African Americans</t>
  </si>
  <si>
    <t>White</t>
  </si>
  <si>
    <t xml:space="preserve">frequency of CYP2C19 LOF </t>
  </si>
  <si>
    <t xml:space="preserve">prevalance of  LOF in East Asian in a trial  </t>
  </si>
  <si>
    <t xml:space="preserve">prevalence of LOF in Asian-British </t>
  </si>
  <si>
    <t>Ethnicity</t>
  </si>
  <si>
    <t>%</t>
  </si>
  <si>
    <t>Number</t>
  </si>
  <si>
    <t>Equivalent in Iova</t>
  </si>
  <si>
    <t xml:space="preserve">frequency </t>
  </si>
  <si>
    <t>Asian</t>
  </si>
  <si>
    <t>Bangladeshi</t>
  </si>
  <si>
    <t>SAS</t>
  </si>
  <si>
    <t>Chinese</t>
  </si>
  <si>
    <t>EAS</t>
  </si>
  <si>
    <t>Indian</t>
  </si>
  <si>
    <t>Pakistani</t>
  </si>
  <si>
    <t>Asian other</t>
  </si>
  <si>
    <t>Black</t>
  </si>
  <si>
    <t>Black African</t>
  </si>
  <si>
    <t>AA</t>
  </si>
  <si>
    <t>Black Caribbean</t>
  </si>
  <si>
    <t>Black other</t>
  </si>
  <si>
    <t>Mixed</t>
  </si>
  <si>
    <t>Mixed White/Asian</t>
  </si>
  <si>
    <t>Other</t>
  </si>
  <si>
    <t>Mixed White/Black African</t>
  </si>
  <si>
    <t>Mixed White/Black Caribbean</t>
  </si>
  <si>
    <t>Mixed other</t>
  </si>
  <si>
    <t>Gypsy Or Irish Traveller</t>
  </si>
  <si>
    <t>EUR</t>
  </si>
  <si>
    <t>Roma</t>
  </si>
  <si>
    <t>White British</t>
  </si>
  <si>
    <t>White Irish</t>
  </si>
  <si>
    <t>White other</t>
  </si>
  <si>
    <t>Arab</t>
  </si>
  <si>
    <t xml:space="preserve">other </t>
  </si>
  <si>
    <t>Prevalence of LOF UK-mixed ethnicity</t>
  </si>
  <si>
    <t>Event</t>
  </si>
  <si>
    <t>Mortality</t>
  </si>
  <si>
    <t xml:space="preserve">utility of no further event </t>
  </si>
  <si>
    <t>utility of MI</t>
  </si>
  <si>
    <t>utility of post-MI</t>
  </si>
  <si>
    <t xml:space="preserve">utility of Stroke </t>
  </si>
  <si>
    <t xml:space="preserve">utility of Post-Stroke </t>
  </si>
  <si>
    <t>PLATO - trial</t>
  </si>
  <si>
    <t>distribution</t>
  </si>
  <si>
    <t>beta</t>
  </si>
  <si>
    <t>risk rate</t>
  </si>
  <si>
    <t>sample size</t>
  </si>
  <si>
    <t>Higher CI</t>
  </si>
  <si>
    <t>STEMI</t>
  </si>
  <si>
    <t>AC</t>
  </si>
  <si>
    <t>AT</t>
  </si>
  <si>
    <t>weighted average</t>
  </si>
  <si>
    <t>MINAP data</t>
  </si>
  <si>
    <t>value</t>
  </si>
  <si>
    <t xml:space="preserve">outcomes reported by Pufulete et al 2021 </t>
  </si>
  <si>
    <t xml:space="preserve">Model assumptions </t>
  </si>
  <si>
    <t>PCI</t>
  </si>
  <si>
    <t xml:space="preserve">Discharge </t>
  </si>
  <si>
    <t>Diagnosis</t>
  </si>
  <si>
    <t>short-term follow up</t>
  </si>
  <si>
    <t>Discharge</t>
  </si>
  <si>
    <t>Post 1 Year</t>
  </si>
  <si>
    <t>Male : 65
Female : 70</t>
  </si>
  <si>
    <t xml:space="preserve">proportion of Male patients </t>
  </si>
  <si>
    <t>proportion of Male patients</t>
  </si>
  <si>
    <t>NICE NG186</t>
  </si>
  <si>
    <t>SMRs</t>
  </si>
  <si>
    <t>SMR_No further event</t>
  </si>
  <si>
    <t>SMR_Reinfarction</t>
  </si>
  <si>
    <t>SMR_Post-reinfarction</t>
  </si>
  <si>
    <t>SMR_Stroke</t>
  </si>
  <si>
    <t>SMR_Post-Stroke</t>
  </si>
  <si>
    <t>Male_prop_STEMI</t>
  </si>
  <si>
    <t>age_male</t>
  </si>
  <si>
    <t>Smolina et al</t>
  </si>
  <si>
    <t xml:space="preserve">Bronnum-Hansen </t>
  </si>
  <si>
    <t>mortality_male</t>
  </si>
  <si>
    <t xml:space="preserve">age_female </t>
  </si>
  <si>
    <t>mortality_female</t>
  </si>
  <si>
    <t>adjusted_mortality_male</t>
  </si>
  <si>
    <t>adjusted_mortality_female</t>
  </si>
  <si>
    <t>adjusted_mortality_mf</t>
  </si>
  <si>
    <t>Life Table 2021-2023</t>
  </si>
  <si>
    <t>utility_no further event</t>
  </si>
  <si>
    <t>female</t>
  </si>
  <si>
    <t xml:space="preserve">both </t>
  </si>
  <si>
    <t>utility_reinfarction</t>
  </si>
  <si>
    <t>both</t>
  </si>
  <si>
    <t>utility_stroke</t>
  </si>
  <si>
    <t>utility _post-reinfarction</t>
  </si>
  <si>
    <t xml:space="preserve">utility_nofurther_event </t>
  </si>
  <si>
    <t>utility_post_reinfarction</t>
  </si>
  <si>
    <t xml:space="preserve">utility_Stroke </t>
  </si>
  <si>
    <t xml:space="preserve">utility_ Post_Stroke </t>
  </si>
  <si>
    <t xml:space="preserve">utility decrements minor bleeding </t>
  </si>
  <si>
    <t xml:space="preserve">utility decrements major bleeding </t>
  </si>
  <si>
    <t xml:space="preserve">duration applied for minor bleeding </t>
  </si>
  <si>
    <t>Doble 2018</t>
  </si>
  <si>
    <t xml:space="preserve">duration applied for major bleeding </t>
  </si>
  <si>
    <t>Doble 2019</t>
  </si>
  <si>
    <t>Drug</t>
  </si>
  <si>
    <t>Tablet Size</t>
  </si>
  <si>
    <t>Tablets per Pack</t>
  </si>
  <si>
    <t>Cost per Pack (Feb 2025)</t>
  </si>
  <si>
    <t>Aspirin</t>
  </si>
  <si>
    <t>75mg</t>
  </si>
  <si>
    <t>5mg</t>
  </si>
  <si>
    <t>10mg</t>
  </si>
  <si>
    <t>90mg</t>
  </si>
  <si>
    <t>n/a</t>
  </si>
  <si>
    <t>300mg</t>
  </si>
  <si>
    <t>600mg</t>
  </si>
  <si>
    <t>60mg</t>
  </si>
  <si>
    <t>180mg</t>
  </si>
  <si>
    <t>loading dose cost</t>
  </si>
  <si>
    <t>DAPT unit cost(£)</t>
  </si>
  <si>
    <t xml:space="preserve">daily maintenance dose </t>
  </si>
  <si>
    <t xml:space="preserve">NHSBSA Tariffs - February 2025. </t>
  </si>
  <si>
    <t xml:space="preserve"> non-elective Long-stay </t>
  </si>
  <si>
    <t>EY40A</t>
  </si>
  <si>
    <t>Complex Percutaneous Transluminal Coronary Angioplasty with CC Score 12+</t>
  </si>
  <si>
    <t>EY40B</t>
  </si>
  <si>
    <t>Complex Percutaneous Transluminal Coronary Angioplasty with CC Score 8-11</t>
  </si>
  <si>
    <t>EY40C</t>
  </si>
  <si>
    <t>Complex Percutaneous Transluminal Coronary Angioplasty with CC Score 4-7</t>
  </si>
  <si>
    <t>EY40D</t>
  </si>
  <si>
    <t>Complex Percutaneous Transluminal Coronary Angioplasty with CC Score 0-3</t>
  </si>
  <si>
    <t>EY41A</t>
  </si>
  <si>
    <t>Standard Percutaneous Transluminal Coronary Angioplasty with CC Score 12+</t>
  </si>
  <si>
    <t>EY41B</t>
  </si>
  <si>
    <t>Standard Percutaneous Transluminal Coronary Angioplasty with CC Score 8-11</t>
  </si>
  <si>
    <t>EY41C</t>
  </si>
  <si>
    <t>Standard Percutaneous Transluminal Coronary Angioplasty with CC Score 4-7</t>
  </si>
  <si>
    <t>EY41D</t>
  </si>
  <si>
    <t>Standard Percutaneous Transluminal Coronary Angioplasty with CC Score 0-3</t>
  </si>
  <si>
    <t xml:space="preserve">Non-elective Short-stay </t>
  </si>
  <si>
    <t>ERG Code</t>
  </si>
  <si>
    <t>ERG Description</t>
  </si>
  <si>
    <t>No of FCEs</t>
  </si>
  <si>
    <t>National average unit cost</t>
  </si>
  <si>
    <t xml:space="preserve">Abbreviations: FCE = finished consultant episode
Source: NHS Reference Costs, 2023/25; cost of non-elective long stay includes excess bed day cost. </t>
  </si>
  <si>
    <t>Cost of index PCI (£)</t>
  </si>
  <si>
    <t>loading 
dose</t>
  </si>
  <si>
    <t xml:space="preserve">cost 
per day </t>
  </si>
  <si>
    <t>cost 
per tablet</t>
  </si>
  <si>
    <t xml:space="preserve">NHSBSA Tariffs - February 2025 </t>
  </si>
  <si>
    <t>Clopidogrel_L300</t>
  </si>
  <si>
    <t>Clopidogrel_L600</t>
  </si>
  <si>
    <t>Prasugrel_5</t>
  </si>
  <si>
    <t>prasugrel_10</t>
  </si>
  <si>
    <t>day_cost_aspirin</t>
  </si>
  <si>
    <t>day_cost_ticagrelor</t>
  </si>
  <si>
    <t>cost_PCI</t>
  </si>
  <si>
    <t>The unit costs of health and social care_Final3.pdf</t>
  </si>
  <si>
    <t>NHSCII pay and prices</t>
  </si>
  <si>
    <t>2017/2018</t>
  </si>
  <si>
    <t>base year</t>
  </si>
  <si>
    <t>2018/2019</t>
  </si>
  <si>
    <t>2019/2020</t>
  </si>
  <si>
    <t>2020/2021</t>
  </si>
  <si>
    <t>2021/2022</t>
  </si>
  <si>
    <t>2022/2023*</t>
  </si>
  <si>
    <t>2023/2024</t>
  </si>
  <si>
    <t>2024/2025</t>
  </si>
  <si>
    <t>no-event</t>
  </si>
  <si>
    <t xml:space="preserve">stroke </t>
  </si>
  <si>
    <t xml:space="preserve">death </t>
  </si>
  <si>
    <t>stroke</t>
  </si>
  <si>
    <t xml:space="preserve"> post- stroke</t>
  </si>
  <si>
    <t>no further event</t>
  </si>
  <si>
    <t xml:space="preserve">reinfarction </t>
  </si>
  <si>
    <t>post- reinfarction</t>
  </si>
  <si>
    <t xml:space="preserve">Decision tree </t>
  </si>
  <si>
    <t>Markov</t>
  </si>
  <si>
    <t>minor bleeding</t>
  </si>
  <si>
    <t>Adverse events</t>
  </si>
  <si>
    <t>23-25NHSPS - amended Annex D Prices and cost adjusments</t>
  </si>
  <si>
    <t xml:space="preserve">Lognormal </t>
  </si>
  <si>
    <t>Normal</t>
  </si>
  <si>
    <t xml:space="preserve">Normal </t>
  </si>
  <si>
    <t>MI with AC</t>
  </si>
  <si>
    <t>Stroke with AC</t>
  </si>
  <si>
    <t>Major bleeding with AC</t>
  </si>
  <si>
    <t>Minor bleeding with AC</t>
  </si>
  <si>
    <t>All-cause mortality with AT</t>
  </si>
  <si>
    <t>proportion of AT in standard care</t>
  </si>
  <si>
    <t>proportion of AC in standard care</t>
  </si>
  <si>
    <t xml:space="preserve">proportion of AP in standard care </t>
  </si>
  <si>
    <t>All-cause mortality with AC</t>
  </si>
  <si>
    <t>MI with AT</t>
  </si>
  <si>
    <t>Major bleeding with AT</t>
  </si>
  <si>
    <t>Minor bleeding with AT</t>
  </si>
  <si>
    <t>All-cause mortality with AP</t>
  </si>
  <si>
    <t>Major bleeding with AP</t>
  </si>
  <si>
    <t>Minor bleeding with AP</t>
  </si>
  <si>
    <t>All-cause mortality with AC in no-LOF</t>
  </si>
  <si>
    <t>Major bleeding with AC no-LOF</t>
  </si>
  <si>
    <t>Minor bleeding with AC no-LOF</t>
  </si>
  <si>
    <t>MI with AP</t>
  </si>
  <si>
    <t>Year</t>
  </si>
  <si>
    <t>Total</t>
  </si>
  <si>
    <t xml:space="preserve">DAPT Proprtion </t>
  </si>
  <si>
    <t>NSTEMI_UA</t>
  </si>
  <si>
    <t>10.1161/JAHA.124.034414</t>
  </si>
  <si>
    <t>10.1161/JAHA.124.034415</t>
  </si>
  <si>
    <t>10.1161/JAHA.124.034416</t>
  </si>
  <si>
    <t xml:space="preserve">Mohamed et al </t>
  </si>
  <si>
    <t xml:space="preserve">link </t>
  </si>
  <si>
    <t>risk of mortality with AC</t>
  </si>
  <si>
    <t>10.1136/bmjopen-2018-024627</t>
  </si>
  <si>
    <t>risk_mortality</t>
  </si>
  <si>
    <t xml:space="preserve">Major 
Bleeding </t>
  </si>
  <si>
    <t xml:space="preserve">Minor
 bleeding </t>
  </si>
  <si>
    <t>10.1136/openhrt-2018-000951</t>
  </si>
  <si>
    <t>10.1136/openhrt-2022-001999</t>
  </si>
  <si>
    <t>Link</t>
  </si>
  <si>
    <t>Hulme</t>
  </si>
  <si>
    <t>risk of MI , stroke, bleeding AC</t>
  </si>
  <si>
    <t xml:space="preserve">probability of events with ticagrelor and prasugrel </t>
  </si>
  <si>
    <t>probability 
AC</t>
  </si>
  <si>
    <t>Odds
AC</t>
  </si>
  <si>
    <t>OR
ATvsAC</t>
  </si>
  <si>
    <t>OR
APvsAC</t>
  </si>
  <si>
    <t>OR
CI_L</t>
  </si>
  <si>
    <t>OR
CI_H</t>
  </si>
  <si>
    <t>probability 
AT</t>
  </si>
  <si>
    <t>SE_OR
AT</t>
  </si>
  <si>
    <t>SE, and CI for probabily of events with AT</t>
  </si>
  <si>
    <t>SE, and CI for probabily of events with AP</t>
  </si>
  <si>
    <t>SE, and CI for probabily of events with AC</t>
  </si>
  <si>
    <t>probability
AP</t>
  </si>
  <si>
    <t>SE_OR
AP</t>
  </si>
  <si>
    <t xml:space="preserve">Pilling et al </t>
  </si>
  <si>
    <t xml:space="preserve">Ionova et al </t>
  </si>
  <si>
    <t xml:space="preserve">Magavern et al </t>
  </si>
  <si>
    <t>10.1111/cts.12830</t>
  </si>
  <si>
    <t>10.1016/j.jacadv.2023.100573</t>
  </si>
  <si>
    <t>10.1016/j.jns.2016.08.025</t>
  </si>
  <si>
    <t xml:space="preserve"> 10.1136/bmjopen-2021-053905</t>
  </si>
  <si>
    <t xml:space="preserve"> Other</t>
  </si>
  <si>
    <t>event rates in non-lof carriers with AC</t>
  </si>
  <si>
    <t>HR
LOF</t>
  </si>
  <si>
    <t>Inflation rate</t>
  </si>
  <si>
    <t xml:space="preserve">NHS national tariff - 2023/24 </t>
  </si>
  <si>
    <t xml:space="preserve">Gendrive test price </t>
  </si>
  <si>
    <t xml:space="preserve">company </t>
  </si>
  <si>
    <t>utility of no further event_t</t>
  </si>
  <si>
    <t>utility of reinfarction_t</t>
  </si>
  <si>
    <t>day_cost_clopidogrel</t>
  </si>
  <si>
    <t>day_cost_prasugrel_5mg</t>
  </si>
  <si>
    <t>day_cost_prasugrel_10mg</t>
  </si>
  <si>
    <t>Prasugrel1</t>
  </si>
  <si>
    <t>loading_clopidogrel_300</t>
  </si>
  <si>
    <t>loading_prasugrel_60</t>
  </si>
  <si>
    <t>loading_ticagrelor_180</t>
  </si>
  <si>
    <t>Normal with SD=10% initial value</t>
  </si>
  <si>
    <t>Gamma with SD=10% initial value</t>
  </si>
  <si>
    <t>https://bnf.nice.org.uk/</t>
  </si>
  <si>
    <t>loading_clopidogrel_600</t>
  </si>
  <si>
    <t xml:space="preserve">cycle </t>
  </si>
  <si>
    <t>cycle</t>
  </si>
  <si>
    <t>adjusted_mortality
male</t>
  </si>
  <si>
    <t>adjusted_mortality
female</t>
  </si>
  <si>
    <t>adjusted_mortality
mf</t>
  </si>
  <si>
    <t>Mortality post_stroke</t>
  </si>
  <si>
    <t>mortality stroke</t>
  </si>
  <si>
    <t>mortality post-reinfarction</t>
  </si>
  <si>
    <t>mortality reinfarction</t>
  </si>
  <si>
    <t>mortality no_further event</t>
  </si>
  <si>
    <t xml:space="preserve">utility_ post_stroke </t>
  </si>
  <si>
    <t>cost_no_further_ event_markov</t>
  </si>
  <si>
    <t>cost_stroke_markov</t>
  </si>
  <si>
    <t xml:space="preserve"> cost_post- stroke_markov</t>
  </si>
  <si>
    <t>cost_reinfarction_markov</t>
  </si>
  <si>
    <t>cost_post- reinfarction_markov</t>
  </si>
  <si>
    <t>cost_MI_tree</t>
  </si>
  <si>
    <t>cost_stroke_tree</t>
  </si>
  <si>
    <t>cost_death_tree</t>
  </si>
  <si>
    <t>cost_no_further_event_tree</t>
  </si>
  <si>
    <t xml:space="preserve">Normal with SD=10% ofinitial value </t>
  </si>
  <si>
    <t>Normal with SD=10% of initial value</t>
  </si>
  <si>
    <t>Evidence review for dual antiplatelet therapy - NCBI Bookshelf</t>
  </si>
  <si>
    <t>10.1093/eurheartj/ehx515</t>
  </si>
  <si>
    <t>10.1056/NEJMoa0904327</t>
  </si>
  <si>
    <t>10.1056/NEJMoa0904326</t>
  </si>
  <si>
    <t>10.1056/NEJMoa0904329</t>
  </si>
  <si>
    <t>10.1186/s12955-018-1019-3</t>
  </si>
  <si>
    <t>10.1186/s12955-018-1019-4</t>
  </si>
  <si>
    <t>Doble 2016</t>
  </si>
  <si>
    <t>Doble 2017</t>
  </si>
  <si>
    <t>10.1161/CIRCOUTCOMES.111.964700</t>
  </si>
  <si>
    <t>10.1161/CIRCOUTCOMES.111.964701</t>
  </si>
  <si>
    <t>10.1191/135248506ms1280oa</t>
  </si>
  <si>
    <t xml:space="preserve">British National Formulary </t>
  </si>
  <si>
    <t xml:space="preserve">Base case </t>
  </si>
  <si>
    <t xml:space="preserve">patients who eventually died at the end of decision tree will absorb 6 months DAPT cost. </t>
  </si>
  <si>
    <t xml:space="preserve">utility decrements minor bleeding_tree </t>
  </si>
  <si>
    <t>utility decrements major bleeding_tree</t>
  </si>
  <si>
    <t>Doble 2020</t>
  </si>
  <si>
    <t>Doble 2021</t>
  </si>
  <si>
    <t xml:space="preserve">NICE PMG36-  2022 </t>
  </si>
  <si>
    <t>https://www.nice.org.uk/process/pmg36/chapter/economic-evaluation-2#discounting</t>
  </si>
  <si>
    <t>NICE PMG36-  2023</t>
  </si>
  <si>
    <t>Beta (Alpha = (number of people having event)
Beta = (Number of people) − (number of people having 
event)</t>
  </si>
  <si>
    <t>Alpha = (number of people having event) Beta = (Number of people) − (number of people having event)</t>
  </si>
  <si>
    <t>Gamma</t>
  </si>
  <si>
    <t xml:space="preserve">CE threshold </t>
  </si>
  <si>
    <t>NICE PMG36-  2024</t>
  </si>
  <si>
    <t>proportion of patients receiving clopidogrel in standard care</t>
  </si>
  <si>
    <t>proportion of patients receiving ticagrelor in standard care</t>
  </si>
  <si>
    <t xml:space="preserve">proportion of patients receiving prasugrel in standard care </t>
  </si>
  <si>
    <t>All patients were assumed to incur PCI-related costs</t>
  </si>
  <si>
    <t>male proportion in the cohort is 75%</t>
  </si>
  <si>
    <t>patients were assumed not to experience multiple events within the 1-year trial period, consistent with the cost-effectiveness analysis of the PLATO (Platelet Inhibition and Patient Outcomes) trial.</t>
  </si>
  <si>
    <t>patients who eventually died at the end of decision tree will absorb post acute treatment costs</t>
  </si>
  <si>
    <t>Duration of utility decrement applied for:
Minor bleeding : 7.6 days
Major bleeding  : 45.6 days</t>
  </si>
  <si>
    <t>Utility values in the model were adjusted for age and sex</t>
  </si>
  <si>
    <t>Probability of a test result being followed</t>
  </si>
  <si>
    <t>Differential treatment effects were assumed to apply only within the first year; thus, probabilities beyond one year remained constant across initial DAPT strategies.</t>
  </si>
  <si>
    <t xml:space="preserve">Loading dose for clopidogrel </t>
  </si>
  <si>
    <t>Patients in the decision tree who did not experience further events were assumed to incur post-acute costs</t>
  </si>
  <si>
    <t>The long-term model was parameterised with the same event rates between 30 days and one year</t>
  </si>
  <si>
    <t>Patients in both treatment groups were assumed to receive ASA (aspirin) monotherapy after 12 months; hence, no differences in bleeding rates were expected in the Markov model</t>
  </si>
  <si>
    <t>Test accuracy assumption</t>
  </si>
  <si>
    <t>Probability of a genetic test being ordered</t>
  </si>
  <si>
    <t>Bleeding events were incorporated as short-term adverse events, except for haemorrhagic stroke, which was captured under the stroke outcome</t>
  </si>
  <si>
    <t xml:space="preserve">Markov </t>
  </si>
  <si>
    <t xml:space="preserve"> Reinfarction and stroke were tunnel health states, meaning that people only remain in that health state for one 
cycle, at which point they must transition to dead or the post-reinfarction/post-stroke health states. </t>
  </si>
  <si>
    <t xml:space="preserve">risk of mortality is adjusted by age and sex according to the mortality risks in life table 2022. </t>
  </si>
  <si>
    <t>After one year, event risks were assumed to be independent of the initial DAPT treatment</t>
  </si>
  <si>
    <t>The probability of death, reinfarction, and stroke remained constant beyond one year, regardless of which DAPT was received initially​</t>
  </si>
  <si>
    <t>No event, reinfarction, stroke, death</t>
  </si>
  <si>
    <t>No Further Event</t>
  </si>
  <si>
    <t>Post-Reinfarction</t>
  </si>
  <si>
    <t>Post-Stroke</t>
  </si>
  <si>
    <t>Dead</t>
  </si>
  <si>
    <t>1-4.3% - 1.12% - Age-dependent</t>
  </si>
  <si>
    <t>from</t>
  </si>
  <si>
    <t xml:space="preserve">to </t>
  </si>
  <si>
    <t>1- age-dependant mortality</t>
  </si>
  <si>
    <t>Probability</t>
  </si>
  <si>
    <t>1-4.3%-1.12%-Age-dependent mortality</t>
  </si>
  <si>
    <t>Age-dependent mortality</t>
  </si>
  <si>
    <t>1-Age-dependent mortality</t>
  </si>
  <si>
    <t>No Further Event to No Further Event</t>
  </si>
  <si>
    <t>No Further Event to Reinfarction</t>
  </si>
  <si>
    <t>No Further Event to Stroke</t>
  </si>
  <si>
    <t>No Further Event to Dead</t>
  </si>
  <si>
    <t>Reinfarction to Post-Reinfarction</t>
  </si>
  <si>
    <t>Reinfarction to Dead</t>
  </si>
  <si>
    <t>Post-Reinfarction to Post-Reinfarction</t>
  </si>
  <si>
    <t>Post-Reinfarction to Dead</t>
  </si>
  <si>
    <t>Stroke to Post-Stroke</t>
  </si>
  <si>
    <t>Stroke to Dead</t>
  </si>
  <si>
    <t>Post-Stroke to Dead</t>
  </si>
  <si>
    <t>Dead to Dead</t>
  </si>
  <si>
    <t>No Further Event to Post-Reinfarction</t>
  </si>
  <si>
    <t>No Further Event to Post-Stroke</t>
  </si>
  <si>
    <t>Reinfarction to No Further Event</t>
  </si>
  <si>
    <t>Reinfarction to Reinfarction</t>
  </si>
  <si>
    <t>Reinfarction to Stroke</t>
  </si>
  <si>
    <t>Reinfarction to Post-Stroke</t>
  </si>
  <si>
    <t>Post-Reinfarction to No Further Event</t>
  </si>
  <si>
    <t>Post-Reinfarction to Reinfarction</t>
  </si>
  <si>
    <t>Post-Reinfarction to Stroke</t>
  </si>
  <si>
    <t>Post-Reinfarction to Post-Stroke</t>
  </si>
  <si>
    <t>Stroke to No Further Event</t>
  </si>
  <si>
    <t>Stroke to Reinfarction</t>
  </si>
  <si>
    <t>Stroke to Post-Reinfarction</t>
  </si>
  <si>
    <t>Stroke to Stroke</t>
  </si>
  <si>
    <t>Post-Stroke to No Further Event</t>
  </si>
  <si>
    <t>Post-Stroke to Reinfarction</t>
  </si>
  <si>
    <t>Post-Stroke to Post-Reinfarction</t>
  </si>
  <si>
    <t>Post-Stroke to Stroke</t>
  </si>
  <si>
    <t>Post-Stroke to Post-Stroke</t>
  </si>
  <si>
    <t>Dead to No Further Event</t>
  </si>
  <si>
    <t>Dead to Reinfarction</t>
  </si>
  <si>
    <t>Dead to Post-Reinfarction</t>
  </si>
  <si>
    <t>Dead to Stroke</t>
  </si>
  <si>
    <t>Dead to Post-Stroke</t>
  </si>
  <si>
    <t xml:space="preserve">transition from / to </t>
  </si>
  <si>
    <t xml:space="preserve">risk </t>
  </si>
  <si>
    <t xml:space="preserve">Odds Ratio_All-cause mortality_ ticagrelor vs clopidogrel </t>
  </si>
  <si>
    <t xml:space="preserve">Odds Ratio_MI_ ticagrelor vs clopidogrel </t>
  </si>
  <si>
    <t xml:space="preserve">Odds Ratio_stroke_ ticagrelor vs clopidogrel </t>
  </si>
  <si>
    <t xml:space="preserve">Odds Ratio_major bleeding_ ticagrelor vs clopidogrel </t>
  </si>
  <si>
    <t xml:space="preserve">Odds Ratio_minor bleeding_ ticagrelor vs clopidogrel </t>
  </si>
  <si>
    <t xml:space="preserve">NICE-NG185 / adjusted by NHSCII pay and prices </t>
  </si>
  <si>
    <t xml:space="preserve">Odds Ratio_All-cause mortality_ prasugrel vs clopidogrel </t>
  </si>
  <si>
    <t xml:space="preserve">Odds Ratio_MI_ prasugrel vs clopidogrel </t>
  </si>
  <si>
    <t xml:space="preserve">Odds Ratio_stroke_ prasugrel vs clopidogrel </t>
  </si>
  <si>
    <t xml:space="preserve">Odds Ratio_major bleeding_ prasugrel vs clopidogrel </t>
  </si>
  <si>
    <t xml:space="preserve">Odds Ratio_minor bleeding_ prasugrel vs clopidogrel </t>
  </si>
  <si>
    <t>stroke with AT</t>
  </si>
  <si>
    <t>stroke with AP</t>
  </si>
  <si>
    <t>stroke with AC no-LOF</t>
  </si>
  <si>
    <t>utility of stroke_t</t>
  </si>
  <si>
    <t>SMR_stroke</t>
  </si>
  <si>
    <t>all-cause mortality</t>
  </si>
  <si>
    <t>major bleed</t>
  </si>
  <si>
    <t>minor bleed</t>
  </si>
  <si>
    <t>daily cost of DAPT ( £)</t>
  </si>
  <si>
    <t>type</t>
  </si>
  <si>
    <t>proportion</t>
  </si>
  <si>
    <t>risk</t>
  </si>
  <si>
    <t>hazard rate</t>
  </si>
  <si>
    <t xml:space="preserve">utility </t>
  </si>
  <si>
    <t>ratio</t>
  </si>
  <si>
    <t>cost</t>
  </si>
  <si>
    <t>hazard_ratio_minor_bleeding_ AC_no-LOF</t>
  </si>
  <si>
    <t>cohort size</t>
  </si>
  <si>
    <t>standard_care &gt; clopidogrel_ASA  &gt; no_further_event</t>
  </si>
  <si>
    <t>standard_care &gt; clopidogrel_ASA &gt; stroke</t>
  </si>
  <si>
    <t>standard_care &gt; clopidogrel_ASA &gt; death</t>
  </si>
  <si>
    <t>PoC_test_ordered &gt; test_followed &gt; LOF &gt; ticagrelor_ASA &gt; stroke</t>
  </si>
  <si>
    <t>PoC_test_ordered &gt; test_followed &gt; LOF &gt; ticagrelor_ASA &gt; death</t>
  </si>
  <si>
    <t>PoC_test_ordered &gt; test_followed &gt; LOF &gt; prasugrel_ASA &gt; no_event</t>
  </si>
  <si>
    <t>PoC_test_ordered &gt; test_followed &gt; LOF &gt; prasugrel_ASA &gt; stroke</t>
  </si>
  <si>
    <t>PoC_test_ordered &gt; test_followed &gt; LOF &gt; prasugrel_ASA &gt; death</t>
  </si>
  <si>
    <t>PoC_test_ordered &gt; test_followed &gt; No_LOF &gt; clopidogrel_ASA &gt; no_event</t>
  </si>
  <si>
    <t>PoC_test_ordered &gt; test_followed &gt; No_LOF &gt; clopidogrel_ASA &gt; reinfarction</t>
  </si>
  <si>
    <t>PoC_test_ordered &gt; test_followed &gt; No_LOF &gt; clopidogrel_ASA &gt; stroke</t>
  </si>
  <si>
    <t>PoC_test_ordered &gt; test_followed &gt; No_LOF &gt; clopidogrel_ASA &gt; death</t>
  </si>
  <si>
    <t>standard_care &gt; ticagrelor_ASA  &gt; no_further_event</t>
  </si>
  <si>
    <t>standard_care &gt; ticagrelor_ASA &gt; stroke</t>
  </si>
  <si>
    <t>standard_care &gt; ticagrelor_ASA &gt; death</t>
  </si>
  <si>
    <t>standard_care &gt; prasugrel_ASA  &gt; no_further_event</t>
  </si>
  <si>
    <t>standard_care &gt; prasugrel_ASA &gt; stroke</t>
  </si>
  <si>
    <t>standard_care &gt; prasugrel_ASA &gt; death</t>
  </si>
  <si>
    <t>proportion AT in LoF cariers</t>
  </si>
  <si>
    <t>proportion AP in LoF cariers</t>
  </si>
  <si>
    <t>PoC_test_ordered &gt; test_followed &gt; LOF &gt; ticagrelor_ASA &gt; no_further_event</t>
  </si>
  <si>
    <t>PoC_test_ordered &gt; test_followed &gt; LOF &gt; ticagrelor_ASA &gt; MI</t>
  </si>
  <si>
    <t>standard_care &gt; prasugrel_ASA &gt; MI</t>
  </si>
  <si>
    <t>standard_care &gt; ticagrelor_ASA &gt; MI</t>
  </si>
  <si>
    <t>standard_care &gt; clopidogrel_ASA &gt; MI</t>
  </si>
  <si>
    <t xml:space="preserve">PoC_test_ordered &gt; test_not_followed &gt; standard_care </t>
  </si>
  <si>
    <t>PoC_test_ordered &gt; test_followed &gt; LOF &gt; prasugrel_ASA &gt; MI</t>
  </si>
  <si>
    <t>probability of ordering test</t>
  </si>
  <si>
    <t>probability of following test</t>
  </si>
  <si>
    <t>probability</t>
  </si>
  <si>
    <t>MI with AC no-LOF</t>
  </si>
  <si>
    <t>Maintenance period 365</t>
  </si>
  <si>
    <t>Maintenance period 360</t>
  </si>
  <si>
    <t>Maintenance period 328</t>
  </si>
  <si>
    <t>number</t>
  </si>
  <si>
    <t xml:space="preserve">Maintenance period half way </t>
  </si>
  <si>
    <t xml:space="preserve">
</t>
  </si>
  <si>
    <t>proportion of prasugrel 5mg</t>
  </si>
  <si>
    <t>All patients receiving standard care will take ASA along with a loading dose of AC, AT, or AP, based on their chosen treatment. The maintenance dose duration varies depending on the patient's outcome within the decision tree:
Patients with no further events receive a maintenance dose for 328 days.
Patients who experience stroke or myocardial infarction (MI) receive a maintenance dose for 365 days.
Patients who die receive half the maintenance dose assigned to the stroke or MI states.</t>
  </si>
  <si>
    <t xml:space="preserve">assumption </t>
  </si>
  <si>
    <t>Patients in the PoC arm who do not follow the test results will continue along the same pathway as those in the standard care arm, with the only difference being the additional cost incurred for taking the PoC test.</t>
  </si>
  <si>
    <r>
      <t xml:space="preserve">Patients in the PoC arm who undergo testing and follow the results do not receive a loading dose of the main antiplatelets (clopidogrel, ticagrelor, or prasugrel). Their maintenance dose is </t>
    </r>
    <r>
      <rPr>
        <b/>
        <sz val="11"/>
        <color theme="1"/>
        <rFont val="Calibri"/>
        <family val="2"/>
        <scheme val="minor"/>
      </rPr>
      <t>five days shorter</t>
    </r>
    <r>
      <rPr>
        <sz val="11"/>
        <color theme="1"/>
        <rFont val="Calibri"/>
        <family val="2"/>
        <scheme val="minor"/>
      </rPr>
      <t xml:space="preserve"> than that of their counterparts in the standard care arm.</t>
    </r>
  </si>
  <si>
    <t>Patients in the PoC arm who undergo testing and follow the results do not receive a loading dose of the main antiplatelets (clopidogrel, ticagrelor, or prasugrel). Their maintenance dose is five days shorter than that of their counterparts in the standard care arm.</t>
  </si>
  <si>
    <t>proportion_AC_standard</t>
  </si>
  <si>
    <t>proportion_AT_standard</t>
  </si>
  <si>
    <t>proportion_AP_standard</t>
  </si>
  <si>
    <t>prob_death_AC</t>
  </si>
  <si>
    <t>prob_MI_AC</t>
  </si>
  <si>
    <t>prob_stroke_AC</t>
  </si>
  <si>
    <t>prob_maj_bleed_AC</t>
  </si>
  <si>
    <t>prob_min_bleed_AC</t>
  </si>
  <si>
    <t>prob_death_AT</t>
  </si>
  <si>
    <t>prob_MI_AT</t>
  </si>
  <si>
    <t>prob_maj_bleed_AT</t>
  </si>
  <si>
    <t>prob_min_bleed_AT</t>
  </si>
  <si>
    <t>prob_death_AP</t>
  </si>
  <si>
    <t>prob_MI_AP</t>
  </si>
  <si>
    <t>prob_stroke_AP</t>
  </si>
  <si>
    <t>prob_maj_bleed_AP</t>
  </si>
  <si>
    <t>prob_min_bleed_AP</t>
  </si>
  <si>
    <t>proportion_AT_standard/(proportion_AT_standard+proportion_AP_standard)</t>
  </si>
  <si>
    <t>1-proportion_AT_lof</t>
  </si>
  <si>
    <t>utility_no_event_tree</t>
  </si>
  <si>
    <t>utility_reinfarction_tree</t>
  </si>
  <si>
    <t>utility_stroke_tree</t>
  </si>
  <si>
    <t>utility_dec_maj_bleed * (duration_maj_bleed/365)</t>
  </si>
  <si>
    <t>SMR_no_further_event</t>
  </si>
  <si>
    <t>SMR_reinfarction</t>
  </si>
  <si>
    <t>SMR_post_reinfarction</t>
  </si>
  <si>
    <t>SMR_post_stroke</t>
  </si>
  <si>
    <t>day_cost_ASA</t>
  </si>
  <si>
    <t>cost_no_event_tree</t>
  </si>
  <si>
    <t>cost_min_bleed</t>
  </si>
  <si>
    <t>cost_maj_bleed</t>
  </si>
  <si>
    <t>cost_no_event_markov</t>
  </si>
  <si>
    <t>cost_post_stroke_markov</t>
  </si>
  <si>
    <t>cost_post_reinfarction_markov</t>
  </si>
  <si>
    <t>OR_death_tica_vs_clop</t>
  </si>
  <si>
    <t>OR_MI_tica_vs_clop</t>
  </si>
  <si>
    <t>OR_stroke_tica_vs_clop</t>
  </si>
  <si>
    <t>OR_maj_bleed__tica_vs_clop</t>
  </si>
  <si>
    <t>OR_min_bleed__tica_vs_clop</t>
  </si>
  <si>
    <t>OR_death_pras_vs_clop</t>
  </si>
  <si>
    <t>OR_MI_pras_vs_clop</t>
  </si>
  <si>
    <t>OR_stroke_pras_vs_clop</t>
  </si>
  <si>
    <t>OR_maj_bleed_pras_vs_clop</t>
  </si>
  <si>
    <t>OR_min_bleed_pras_vs_clop</t>
  </si>
  <si>
    <t xml:space="preserve">variable name </t>
  </si>
  <si>
    <t>prob_test_order</t>
  </si>
  <si>
    <t>prob_test_followed</t>
  </si>
  <si>
    <t>prevalence_LOF_base_case</t>
  </si>
  <si>
    <t>prevalence_LOF_sensitivity</t>
  </si>
  <si>
    <t>prob_death_AC_noLOF</t>
  </si>
  <si>
    <t>prob_MI_AC_noLOF</t>
  </si>
  <si>
    <t>prob_stroke_AC_noLOF</t>
  </si>
  <si>
    <t>rate_maj_bleed_AC_noLOF</t>
  </si>
  <si>
    <t>rate_min_bleed_AC_noLOF</t>
  </si>
  <si>
    <t>rate</t>
  </si>
  <si>
    <t xml:space="preserve">rate </t>
  </si>
  <si>
    <t>duration_maj_bleed</t>
  </si>
  <si>
    <t>duration_min_bleed</t>
  </si>
  <si>
    <t>PoCT_cost</t>
  </si>
  <si>
    <t>md_365_day</t>
  </si>
  <si>
    <t>md_360_day</t>
  </si>
  <si>
    <t>md_328</t>
  </si>
  <si>
    <t>md_halfway</t>
  </si>
  <si>
    <t>ld_clop_300</t>
  </si>
  <si>
    <t>ld_clop_600</t>
  </si>
  <si>
    <t>ld_pras_60</t>
  </si>
  <si>
    <t>ld_tica_180</t>
  </si>
  <si>
    <t>prasugrel loading dose 60mg</t>
  </si>
  <si>
    <t>ticagrelor loading dose 180mg</t>
  </si>
  <si>
    <t>clopidogrel loading dose 300mg</t>
  </si>
  <si>
    <t>clopidogrel loading dose 600mg</t>
  </si>
  <si>
    <t>daily cost of ASA</t>
  </si>
  <si>
    <t>daily cost of clopidogrel</t>
  </si>
  <si>
    <t>day_cost_clop</t>
  </si>
  <si>
    <t>utility_dec_min_bleed * (duration_min_bleed/365)</t>
  </si>
  <si>
    <t>proportion_prasu_5mg</t>
  </si>
  <si>
    <t>day_cost_tica</t>
  </si>
  <si>
    <t>day_cost_pras</t>
  </si>
  <si>
    <t>daily cost of prasugrel</t>
  </si>
  <si>
    <t xml:space="preserve">daily cost of ticagrelor </t>
  </si>
  <si>
    <t>Gamma with SD=10% of cost</t>
  </si>
  <si>
    <t>cost_bleeding_AC</t>
  </si>
  <si>
    <t>cost of bleeding with AC</t>
  </si>
  <si>
    <t>cost of bleeding with AT</t>
  </si>
  <si>
    <t xml:space="preserve">cost of bleeding with AP </t>
  </si>
  <si>
    <t>cost_bleeding_AT</t>
  </si>
  <si>
    <t>cost_bleeding_AP</t>
  </si>
  <si>
    <t xml:space="preserve"> </t>
  </si>
  <si>
    <t>cohort break down</t>
  </si>
  <si>
    <t>cost_DAPT_st</t>
  </si>
  <si>
    <t xml:space="preserve">Maintenance period 4 day </t>
  </si>
  <si>
    <t>In the base case scenario, clopidogrel is administered with a loading dose of 600 mg. The patient continues dual antiplatelet therapy with clopidogrel and ASA for a duration of 328 days, based on  NICE NG185 model.</t>
  </si>
  <si>
    <t>In the base case scenario, clopidogrel is administered with a loading dose of 600 mg. The patient continues dual antiplatelet therapy with clopidogrel and ASA for a duration of 365 days, based on  NICE NG185 model.</t>
  </si>
  <si>
    <t>In the base case scenario, clopidogrel is administered with a loading dose of 600 mg. The patient continues dual antiplatelet therapy with clopidogrel and ASA for a duration of 365/2 days, based on  NICE NG185 model.</t>
  </si>
  <si>
    <t>In the base case scenario, ticagrelor is administered with a loading dose of 180 mg. The patient continues dual antiplatelet therapy with ticagrelor and ASA for a duration of 328 days, based on  NICE NG185 model.</t>
  </si>
  <si>
    <t>In the base case scenario, ticagrelor is administered with a loading dose of 180 mg. The patient continues dual antiplatelet therapy with ticagrelor and ASA for a duration of 365 days, based on  NICE NG185 model.</t>
  </si>
  <si>
    <t>In the base case scenario, ticagrelor is administered with a loading dose of 180 mg. The patient continues dual antiplatelet therapy with ticagrelor and ASA for a duration of 365/2 days, based on  NICE NG185 model.</t>
  </si>
  <si>
    <t>In the base case scenario, prasugrel is administered with a loading dose of 60 mg. The patient continues dual antiplatelet therapy with prasugrel and ASA for a duration of 365 days, based on  NICE NG185 model.</t>
  </si>
  <si>
    <t>In the base case scenario, prasugrel is administered with a loading dose of 60 mg. The patient continues dual antiplatelet therapy with prasugrel and ASA for a duration of 328 days, based on  NICE NG185 model.</t>
  </si>
  <si>
    <t>In the base case scenario, prasugrel is administered with a loading dose of 60 mg. The patient continues dual antiplatelet therapy with prasugrel and ASA for a duration of 365/2 days, based on  NICE NG185 model.</t>
  </si>
  <si>
    <t>In the base case scenario, ticagrelor is administered with a loading dose of 180 mg. The patient continues dual antiplatelet therapy with ticagrelor and ASA(because they carry LOF) for a duration of 328 days, based on  NICE NG185 model.</t>
  </si>
  <si>
    <t>In the base case scenario, ticagrelor is administered with a loading dose of 180 mg. The patient continues dual antiplatelet therapy with ticagrelor and ASA(because they carry LOF) for a duration of 365 days, based on  NICE NG185 model.</t>
  </si>
  <si>
    <t>In the base case scenario, ticagrelor is administered with a loading dose of 180 mg. The patient continues dual antiplatelet therapy with ticagrelor and ASA(because they carry LOF) for a duration of 365/2 days, based on  NICE NG185 model.</t>
  </si>
  <si>
    <t>In the base case scenario, prasugrel is administered with a loading dose of 60 mg. The patient continues dual antiplatelet therapy with prasugrel and ASA(because they carry LOF) for a duration of 365 days, based on  NICE NG185 model.</t>
  </si>
  <si>
    <t>In the base case scenario, prasugrel is administered with a loading dose of 60 mg. The patient continues dual antiplatelet therapy with prasugrel and ASA(because they carry LOF) for a duration of 328 days, based on  NICE NG185 model.</t>
  </si>
  <si>
    <t>In the base case scenario, prasugrel is administered with a loading dose of 60 mg. The patient continues dual antiplatelet therapy with prasugrel and ASA(because they carry LOF) for a duration of 365/2 days, based on  NICE NG185 model.</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</si>
  <si>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328 days(assumption NG185).</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</si>
  <si>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360 days(assumption NG185).</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</si>
  <si>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365/2 days(assumption NG185).</t>
  </si>
  <si>
    <t>md_5</t>
  </si>
  <si>
    <t xml:space="preserve">PoC_test_not_ordered &gt; standard_care </t>
  </si>
  <si>
    <t>cost_DAPT_poc</t>
  </si>
  <si>
    <t>QALY_DAPT_st</t>
  </si>
  <si>
    <t>QALY_DAPT_poc</t>
  </si>
  <si>
    <t>Reason/Source</t>
  </si>
  <si>
    <t>time horizon is assumed 40 years (12 month decision tree - 39 years markov with 1 year cycle length)</t>
  </si>
  <si>
    <t>To simplify long term projections when faced with limited evidence on how the effcets of different treatment diverge over time.</t>
  </si>
  <si>
    <t>Notes</t>
  </si>
  <si>
    <t>To estimate the impact of adverse events on patients overall QALY</t>
  </si>
  <si>
    <t>not statistically significant</t>
  </si>
  <si>
    <t>Population: Adults with STEMI undergoing PCI and Adults with UA/NSTEMI undergoing PCI</t>
  </si>
  <si>
    <t>Perspective: NHS UK</t>
  </si>
  <si>
    <t>Discount rate- Costs: 3.5%  and Outcomes: 3.5%</t>
  </si>
  <si>
    <t>utility decrement bleeding AC</t>
  </si>
  <si>
    <t>utility decrement bleeding AT</t>
  </si>
  <si>
    <t>utility decrement bleeding AP</t>
  </si>
  <si>
    <t>annual utility_dec_min_bleed</t>
  </si>
  <si>
    <t>annual utility_dec_maj_bleed</t>
  </si>
  <si>
    <t>total utility decrement of bleeding with AC</t>
  </si>
  <si>
    <t>total utility decrement of bleeding with AP</t>
  </si>
  <si>
    <t>total utility decrement of bleeding with AT</t>
  </si>
  <si>
    <t xml:space="preserve">QALY difference </t>
  </si>
  <si>
    <t>NG185</t>
  </si>
  <si>
    <t>STEMI ONLY</t>
  </si>
  <si>
    <t xml:space="preserve">cohort size </t>
  </si>
  <si>
    <t xml:space="preserve">cost difference </t>
  </si>
  <si>
    <t>ICER</t>
  </si>
  <si>
    <t>decision tree states</t>
  </si>
  <si>
    <t>state probability</t>
  </si>
  <si>
    <t>drug_cost</t>
  </si>
  <si>
    <t>state_cost</t>
  </si>
  <si>
    <t>expected cost</t>
  </si>
  <si>
    <t>state_utility</t>
  </si>
  <si>
    <t>expected utility</t>
  </si>
  <si>
    <t>probability 
_No_LOF</t>
  </si>
  <si>
    <t>We assume equivalent clinical effectiveness for ticagrelor and prasugrel in both the standard care and pharmacogenomics (PGx) arms.</t>
  </si>
  <si>
    <t xml:space="preserve">Proportion of patients prescribed with prasugrel 5 mg </t>
  </si>
  <si>
    <t xml:space="preserve">Prevalence of loss-of-function (LOF) alleles included in the base analysis </t>
  </si>
  <si>
    <t xml:space="preserve">mid-point correction are applied for adjusting utility values in the decision tree phase. </t>
  </si>
  <si>
    <t xml:space="preserve">Scenarios </t>
  </si>
  <si>
    <t xml:space="preserve">probability of ordering PoC test </t>
  </si>
  <si>
    <t xml:space="preserve">probability of following the PoC test result </t>
  </si>
  <si>
    <t xml:space="preserve">Swen et al , multi-centre trial on 12 gene drug pairs </t>
  </si>
  <si>
    <t xml:space="preserve">Magavern et al, </t>
  </si>
  <si>
    <t>AC:26.06% - AT: 65.63%, AP:8.29%</t>
  </si>
  <si>
    <t xml:space="preserve">baseline risk of stroke </t>
  </si>
  <si>
    <t xml:space="preserve">PLATO trial </t>
  </si>
  <si>
    <t>NICE NG 185 , TG28</t>
  </si>
  <si>
    <t>Overview | Ticagrelor for the treatment of acute coronary syndromes | Guidance | NICE</t>
  </si>
  <si>
    <t>baseline risk of MI</t>
  </si>
  <si>
    <t>NICE NG 185 , TG29</t>
  </si>
  <si>
    <t xml:space="preserve">reduced by 18% </t>
  </si>
  <si>
    <t xml:space="preserve">reduced by 20% </t>
  </si>
  <si>
    <t xml:space="preserve">NG 185 </t>
  </si>
  <si>
    <t>Dyspnoea included in the analysis</t>
  </si>
  <si>
    <t>risk of dyspnoea with clopidogrel (decision tree)</t>
  </si>
  <si>
    <t>NG 185</t>
  </si>
  <si>
    <t>OR of dyspnoea with ticagrelor (decision tree)</t>
  </si>
  <si>
    <t>1.77 ( CI:1.62-1.93)</t>
  </si>
  <si>
    <t>utility decrement bleeding AC_no_LOF</t>
  </si>
  <si>
    <t xml:space="preserve">item </t>
  </si>
  <si>
    <t>Per surgery consultation lasting 10 minutes</t>
  </si>
  <si>
    <t xml:space="preserve">Nurse per hour with qualification </t>
  </si>
  <si>
    <t xml:space="preserve">dyspnoea </t>
  </si>
  <si>
    <t>proportion of patients visit GP</t>
  </si>
  <si>
    <t xml:space="preserve">proportion of patients visit nurse </t>
  </si>
  <si>
    <t>cos of nurse visit per 20 minute</t>
  </si>
  <si>
    <t>cost per patient GP</t>
  </si>
  <si>
    <t>cost per patient Nurse</t>
  </si>
  <si>
    <t xml:space="preserve">30 days </t>
  </si>
  <si>
    <t>annual utility decrement AC</t>
  </si>
  <si>
    <t>annual utility decrement AT</t>
  </si>
  <si>
    <t>annual utility decrement AP</t>
  </si>
  <si>
    <t>normal</t>
  </si>
  <si>
    <t xml:space="preserve"> dyspnoea </t>
  </si>
  <si>
    <t>risk of  dyspnoea AC</t>
  </si>
  <si>
    <t>risk of  dyspnoea AT</t>
  </si>
  <si>
    <t>risk of  dyspnoea AP</t>
  </si>
  <si>
    <t>Unit costs  dyspnoea per person</t>
  </si>
  <si>
    <t>utility decremnt  dyspnoea</t>
  </si>
  <si>
    <t xml:space="preserve"> dyspnoea duration</t>
  </si>
  <si>
    <t>probability of  dyspnoea with clopidogrel</t>
  </si>
  <si>
    <t xml:space="preserve">probability of  dyspnoea with ticagrelor </t>
  </si>
  <si>
    <t>probability of  dyspnoea with prasugrel</t>
  </si>
  <si>
    <t xml:space="preserve">odds ratio of  dyspnoea with ticagrelor </t>
  </si>
  <si>
    <t>cost  dyspnoea AC</t>
  </si>
  <si>
    <t>cost  dyspnoea AT</t>
  </si>
  <si>
    <t>cost  dyspnoea AP</t>
  </si>
  <si>
    <t xml:space="preserve">utility decrement apply for  dyspnoea </t>
  </si>
  <si>
    <t>duration   dyspnoea (days)</t>
  </si>
  <si>
    <t>prob_dyspnoea_AC</t>
  </si>
  <si>
    <t>prob_dyspnoea_AT</t>
  </si>
  <si>
    <t>prb_dyspnoea_AP</t>
  </si>
  <si>
    <t>OR_dyspnoea_AT</t>
  </si>
  <si>
    <t>cost_dyspnoea_pp</t>
  </si>
  <si>
    <t>cost_dysponea_AC</t>
  </si>
  <si>
    <t>cost_dyspnoea_AT</t>
  </si>
  <si>
    <t>cost_dyspnoea_AP</t>
  </si>
  <si>
    <t>u_dec_dyspnoea</t>
  </si>
  <si>
    <t>duration_dyspnoea</t>
  </si>
  <si>
    <t>u_dec_dyspnoea_AC</t>
  </si>
  <si>
    <t>u_dec_dyspnoea_AT</t>
  </si>
  <si>
    <t>u_dec_dyspnoea_AP</t>
  </si>
  <si>
    <t>description (STEMI)</t>
  </si>
  <si>
    <t>Doble 2022</t>
  </si>
  <si>
    <t>Doble 2023</t>
  </si>
  <si>
    <t>Doble 2024</t>
  </si>
  <si>
    <t>Doble 2025</t>
  </si>
  <si>
    <t xml:space="preserve">NICE NG185 </t>
  </si>
  <si>
    <t>10.1186/s12955-018-1019-5</t>
  </si>
  <si>
    <t>10.1186/s12955-018-1019-6</t>
  </si>
  <si>
    <t>10.1186/s12955-018-1019-7</t>
  </si>
  <si>
    <t>10.1186/s12955-018-1019-8</t>
  </si>
  <si>
    <t>10.1186/s12955-018-1019-9</t>
  </si>
  <si>
    <t>Swen et al</t>
  </si>
  <si>
    <t>scenario 1</t>
  </si>
  <si>
    <t xml:space="preserve">major bleeding </t>
  </si>
  <si>
    <t>SC1(10%)</t>
  </si>
  <si>
    <t>SC2(20%)</t>
  </si>
  <si>
    <t>SC3(30%)</t>
  </si>
  <si>
    <t>SC4(40%)</t>
  </si>
  <si>
    <t>SC0</t>
  </si>
  <si>
    <t xml:space="preserve">cost of minor bleeding </t>
  </si>
  <si>
    <t xml:space="preserve">cost of major bleeding </t>
  </si>
  <si>
    <t xml:space="preserve">cost of minor bleeding (added cost of gastrointestinal bleeding ). </t>
  </si>
  <si>
    <t>cost of major bleeding (varring proportion of gastrointestinal bleeding in patients)</t>
  </si>
  <si>
    <t>Sc1 , 10%</t>
  </si>
  <si>
    <t xml:space="preserve">Sc3, 30% </t>
  </si>
  <si>
    <t>Sc2, 20%</t>
  </si>
  <si>
    <t xml:space="preserve">Sc4, 40% </t>
  </si>
  <si>
    <t>Bc</t>
  </si>
  <si>
    <t>SA1</t>
  </si>
  <si>
    <t>SA2</t>
  </si>
  <si>
    <t>SA3</t>
  </si>
  <si>
    <t>SA4</t>
  </si>
  <si>
    <t>SA5</t>
  </si>
  <si>
    <t>SA6</t>
  </si>
  <si>
    <t>SA7</t>
  </si>
  <si>
    <t>SA8</t>
  </si>
  <si>
    <t xml:space="preserve">prevalance of CYP2C19 lof carrier </t>
  </si>
  <si>
    <t xml:space="preserve">proportion of antiplatelet prescription in Standard care arm </t>
  </si>
  <si>
    <t xml:space="preserve">Mohamed et al, before NICE NG185 issuance - year 2019 </t>
  </si>
  <si>
    <t xml:space="preserve">reducing SMRs for no-event, reinfarction and post-reinfarction by 20% </t>
  </si>
  <si>
    <t>SA9</t>
  </si>
  <si>
    <t>SA10</t>
  </si>
  <si>
    <t>SA11</t>
  </si>
  <si>
    <t>SA12</t>
  </si>
  <si>
    <t>SA13</t>
  </si>
  <si>
    <t>SA14</t>
  </si>
  <si>
    <t>SA15</t>
  </si>
  <si>
    <t xml:space="preserve">utilities not age-adjusted </t>
  </si>
  <si>
    <t>SA17</t>
  </si>
  <si>
    <t xml:space="preserve">discount rate decreased  </t>
  </si>
  <si>
    <t xml:space="preserve">cost of minor bleeding scenario analysis </t>
  </si>
  <si>
    <t xml:space="preserve">cost of major bleeding with 20% proportion of castronintestinal bleeding </t>
  </si>
  <si>
    <t xml:space="preserve">cost of major bleeding with 30% proportion of castronintestinal bleeding </t>
  </si>
  <si>
    <t xml:space="preserve">cost of major bleeding with 40% proportion of castronintestinal bleeding </t>
  </si>
  <si>
    <t>disc_cost_b</t>
  </si>
  <si>
    <t>disc_effect_b</t>
  </si>
  <si>
    <t xml:space="preserve">discount rate costs base scenario </t>
  </si>
  <si>
    <t xml:space="preserve">discount rate QALYs base scenario </t>
  </si>
  <si>
    <t>ce_tresh</t>
  </si>
  <si>
    <t>disc_effect_sa</t>
  </si>
  <si>
    <t>disc_cost_sa</t>
  </si>
  <si>
    <t>cost_maj_bleed_sa_40</t>
  </si>
  <si>
    <t>cost_maj_bleed_sa_30</t>
  </si>
  <si>
    <t>cost_maj_bleed_sa_20</t>
  </si>
  <si>
    <t>cost_maj_bleed_sa_10</t>
  </si>
  <si>
    <t>cost_min_bleed_sa</t>
  </si>
  <si>
    <t xml:space="preserve">proportion of AC in standard care sensitivity analysis </t>
  </si>
  <si>
    <t xml:space="preserve">proportion of AT in standard care sensitivity analysis </t>
  </si>
  <si>
    <t xml:space="preserve">proportion of AP in standard care sensitivity analysis </t>
  </si>
  <si>
    <t xml:space="preserve">probability of ordering test sensitivity analysis </t>
  </si>
  <si>
    <t xml:space="preserve">probability of following test sensitivity analysis </t>
  </si>
  <si>
    <t>Mohamed et al</t>
  </si>
  <si>
    <t>proportion_AC_standard_sa</t>
  </si>
  <si>
    <t>proportion_AT_standard_sa</t>
  </si>
  <si>
    <t>proportion_AP_standard_sa</t>
  </si>
  <si>
    <t>prob_test_order_sa</t>
  </si>
  <si>
    <t>prob_test_followed_sa</t>
  </si>
  <si>
    <t>prev_LOF_sa</t>
  </si>
  <si>
    <t>prevalance of Loss of Function allele used for sensitivity analysis</t>
  </si>
  <si>
    <t xml:space="preserve">discount rate of costs used for sensitivity analysis </t>
  </si>
  <si>
    <t xml:space="preserve">discount rate of QALYs used for sensitivity analysis </t>
  </si>
  <si>
    <t>prob_MI_AC_sa</t>
  </si>
  <si>
    <t>prob_stroke_AC_sa1</t>
  </si>
  <si>
    <t xml:space="preserve">SMR_No further event used in sensitivity analysis </t>
  </si>
  <si>
    <t>SMR_reinfarction_sa</t>
  </si>
  <si>
    <t>SMR_no_further_event_sa</t>
  </si>
  <si>
    <t xml:space="preserve">SMR_Reinfarction used in sensitivity analysis </t>
  </si>
  <si>
    <t>SMR_post_reinfarction_sa</t>
  </si>
  <si>
    <t xml:space="preserve">SMR_Post-reinfarction used in sensitivity analysis </t>
  </si>
  <si>
    <t xml:space="preserve">utility used in sensitivity analysis </t>
  </si>
  <si>
    <t>u_no_event_sa</t>
  </si>
  <si>
    <t>u_reinfarction_sa</t>
  </si>
  <si>
    <t>u_post_reinfarction_sa</t>
  </si>
  <si>
    <t>u_ post_stroke_sa</t>
  </si>
  <si>
    <t>u_stroke _sa</t>
  </si>
  <si>
    <t>utility</t>
  </si>
  <si>
    <t>base</t>
  </si>
  <si>
    <t xml:space="preserve">cost standard </t>
  </si>
  <si>
    <t>QALY standard</t>
  </si>
  <si>
    <t xml:space="preserve">base </t>
  </si>
  <si>
    <t>SA2 : probability of test followed</t>
  </si>
  <si>
    <t>SA1: probability of test ordered</t>
  </si>
  <si>
    <t>SA3: proportion of DAPT in standard care</t>
  </si>
  <si>
    <t xml:space="preserve">SA4: prevalance of LOF carrier </t>
  </si>
  <si>
    <t>scenario</t>
  </si>
  <si>
    <t xml:space="preserve">scenario </t>
  </si>
  <si>
    <t xml:space="preserve">SA5: baseline risk of stroke </t>
  </si>
  <si>
    <t>SA6: baseline risk of MI</t>
  </si>
  <si>
    <t>SMR no event</t>
  </si>
  <si>
    <t>SMR reinfarction</t>
  </si>
  <si>
    <t>SMR post-reinfarction</t>
  </si>
  <si>
    <t>SA7: reducing SMRs</t>
  </si>
  <si>
    <t xml:space="preserve">SA8 : cost of minor bleeding </t>
  </si>
  <si>
    <t>prob_stroke_AT</t>
  </si>
  <si>
    <t>scenario1</t>
  </si>
  <si>
    <t>universal ticagrelor</t>
  </si>
  <si>
    <t xml:space="preserve">cohort age assumed 62 for male and 69 female. </t>
  </si>
  <si>
    <t xml:space="preserve">no event </t>
  </si>
  <si>
    <t>age</t>
  </si>
  <si>
    <t>reinfarction</t>
  </si>
  <si>
    <t>post-reinfarction</t>
  </si>
  <si>
    <t>post-stroke</t>
  </si>
  <si>
    <t>tunnel</t>
  </si>
  <si>
    <t>noevent_stk</t>
  </si>
  <si>
    <t>noevent_rinfarct</t>
  </si>
  <si>
    <t>noevent_death</t>
  </si>
  <si>
    <t>dead</t>
  </si>
  <si>
    <t xml:space="preserve">check </t>
  </si>
  <si>
    <t>rinfarct_death</t>
  </si>
  <si>
    <t>pos_rinfarc_death</t>
  </si>
  <si>
    <t>stk_death</t>
  </si>
  <si>
    <t>post_stk_death</t>
  </si>
  <si>
    <t>dist_nevent_st_tree</t>
  </si>
  <si>
    <t>dist_rinfarc_st_tree</t>
  </si>
  <si>
    <t>dist_stk_st_tree</t>
  </si>
  <si>
    <t>dist_dead_st_tree</t>
  </si>
  <si>
    <t>dist_nevent_pc_tree</t>
  </si>
  <si>
    <t>dist_rinfarc_pc_tree</t>
  </si>
  <si>
    <t>dist_stk_pc_tree</t>
  </si>
  <si>
    <t>dist_dead_pc_tree</t>
  </si>
  <si>
    <t xml:space="preserve">cost of standard care </t>
  </si>
  <si>
    <t xml:space="preserve">long term  risks </t>
  </si>
  <si>
    <t xml:space="preserve">Health states distribution standard care </t>
  </si>
  <si>
    <t>Health states distribution point-of-care test</t>
  </si>
  <si>
    <t>check</t>
  </si>
  <si>
    <t>cost of point-of-care test</t>
  </si>
  <si>
    <t xml:space="preserve">utility of standard care </t>
  </si>
  <si>
    <t>utility of point-of-care test</t>
  </si>
  <si>
    <t xml:space="preserve">Age-Sex adjustedt utilities </t>
  </si>
  <si>
    <t>total</t>
  </si>
  <si>
    <t>zero</t>
  </si>
  <si>
    <t>sa</t>
  </si>
  <si>
    <t>effect</t>
  </si>
  <si>
    <t>SA9 : discount rate</t>
  </si>
  <si>
    <t>LYGs</t>
  </si>
  <si>
    <t>+</t>
  </si>
  <si>
    <t>QALY_difference</t>
  </si>
  <si>
    <t>cost_difference</t>
  </si>
  <si>
    <t xml:space="preserve">RR_major_bleeding_ AC_no-LOF vs AC standard </t>
  </si>
  <si>
    <t xml:space="preserve">RR_minor_bleeding_ AC_no-LOF vs AC standard </t>
  </si>
  <si>
    <t xml:space="preserve">RR_death_AC_no_LOF vs AT standard </t>
  </si>
  <si>
    <t xml:space="preserve">RR_MI_AC_no_LOF vs AT standard </t>
  </si>
  <si>
    <t xml:space="preserve">RR_stroke_AC_no_LOF vs AT standard </t>
  </si>
  <si>
    <t>relative_risk_all-cause mortality_ AC_no-LOF</t>
  </si>
  <si>
    <t>relative risk_MI_ AC_no-LOF</t>
  </si>
  <si>
    <t>relative risk_stroke_ AC_no-LOF</t>
  </si>
  <si>
    <t>relative risk_major_bleeding_ AC_no-LOF</t>
  </si>
  <si>
    <t xml:space="preserve">Pereira </t>
  </si>
  <si>
    <t>https://doi.org/10.1016/j.jcin.2021.01.024</t>
  </si>
  <si>
    <t>test_order switch</t>
  </si>
  <si>
    <t>test_follow switch</t>
  </si>
  <si>
    <t>100% uptake</t>
  </si>
  <si>
    <t xml:space="preserve">LYGs standard
</t>
  </si>
  <si>
    <t xml:space="preserve">LYGs poc
</t>
  </si>
  <si>
    <t>cost poc</t>
  </si>
  <si>
    <t>QALY poc</t>
  </si>
  <si>
    <t>NMBs</t>
  </si>
  <si>
    <t>cost of standard care (half cycle)</t>
  </si>
  <si>
    <t>cost of point-of-care test (half cycle)</t>
  </si>
  <si>
    <t>Health states distribution standard care (Half Cycle)</t>
  </si>
  <si>
    <t>utility of standard care (Half cycle)</t>
  </si>
  <si>
    <t>utility of point-of-care test (half cycle)</t>
  </si>
  <si>
    <t>Health states distribution point-of-care test(half cycle)</t>
  </si>
  <si>
    <t>SA10 : cost major bleeding</t>
  </si>
  <si>
    <t xml:space="preserve">cost of major bleeding with 10% proportion of gastronintestinal bleeding </t>
  </si>
  <si>
    <t>10% GI bleed</t>
  </si>
  <si>
    <t>20% GI bleed</t>
  </si>
  <si>
    <t>30% GI bleed</t>
  </si>
  <si>
    <t>40% GI bleed</t>
  </si>
  <si>
    <t>SA11 : cost poc test</t>
  </si>
  <si>
    <t xml:space="preserve">Base </t>
  </si>
  <si>
    <t xml:space="preserve">Value </t>
  </si>
  <si>
    <t xml:space="preserve">distribution </t>
  </si>
  <si>
    <t>Beta</t>
  </si>
  <si>
    <t>lognormal</t>
  </si>
  <si>
    <t>0.0791</t>
  </si>
  <si>
    <t>random value</t>
  </si>
  <si>
    <t>deterministic</t>
  </si>
  <si>
    <t>probabilistic</t>
  </si>
  <si>
    <t>mean</t>
  </si>
  <si>
    <t>SA1 : probability of ordering PGx test 50%</t>
  </si>
  <si>
    <t>SA2 : probability of following PGx test 50%</t>
  </si>
  <si>
    <t>QALY 
poc</t>
  </si>
  <si>
    <t>cost 
poc</t>
  </si>
  <si>
    <t xml:space="preserve">LYGs 
poc
</t>
  </si>
  <si>
    <t>Scenario description</t>
  </si>
  <si>
    <t>Base : 100% uptake, AC:22% , AT: 55%, AP:23%, LoF:29.7%</t>
  </si>
  <si>
    <t>SA3 : 100% uptake, AC:10% , AT: 45%, AP:45%</t>
  </si>
  <si>
    <t>SA4 : 100% uptake , AC:10% , AT: 40%, AP:50%</t>
  </si>
  <si>
    <t>SA5: 100% uptake, AC:22% , AT: 55%, AP:23%, LoF:56.8%</t>
  </si>
  <si>
    <t>SA6: 100% uptake, AC:22% , AT: 55%, AP:23%, cost PoC :£250</t>
  </si>
  <si>
    <t xml:space="preserve">Pereira et al </t>
  </si>
  <si>
    <t>https://doi.org/10.1016/j.jcin.2021.01.025</t>
  </si>
  <si>
    <t>https://doi.org/10.1016/j.jcin.2021.01.026</t>
  </si>
  <si>
    <t xml:space="preserve">annual_utility_dec_min_bleed </t>
  </si>
  <si>
    <t xml:space="preserve">annual_utility_dec_maj_bleed </t>
  </si>
  <si>
    <t>alpha/ natural mean</t>
  </si>
  <si>
    <t>beta/ natural SE</t>
  </si>
  <si>
    <t>iteration</t>
  </si>
  <si>
    <t xml:space="preserve">cost </t>
  </si>
  <si>
    <t>QALYs</t>
  </si>
  <si>
    <t xml:space="preserve">standard care </t>
  </si>
  <si>
    <t xml:space="preserve">poc </t>
  </si>
  <si>
    <t xml:space="preserve">incremental </t>
  </si>
  <si>
    <t>prob_nevent_to_dead</t>
  </si>
  <si>
    <t>prob_nevent_to_rinfarc</t>
  </si>
  <si>
    <t>prob_nevent_to_stk</t>
  </si>
  <si>
    <t>10.1038/s41397-024-00344-z</t>
  </si>
  <si>
    <t xml:space="preserve">McDermott et al </t>
  </si>
  <si>
    <t xml:space="preserve">Beta </t>
  </si>
  <si>
    <t>gamma</t>
  </si>
  <si>
    <t>Reviewer</t>
  </si>
  <si>
    <t>cohort distribution in DT standard care</t>
  </si>
  <si>
    <t>cohort distribution poc</t>
  </si>
  <si>
    <t>proportion_male</t>
  </si>
  <si>
    <t>start_age_m</t>
  </si>
  <si>
    <t>start_age_f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</si>
</sst>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4">
    <numFmt numFmtId="164" formatCode="&quot;£&quot;#,##0;[Red]\-&quot;£&quot;#,##0"/>
    <numFmt numFmtId="165" formatCode="&quot;£&quot;#,##0.00;[Red]\-&quot;£&quot;#,##0.00"/>
    <numFmt numFmtId="166" formatCode="0.000"/>
    <numFmt numFmtId="167" formatCode="0.0000"/>
    <numFmt numFmtId="168" formatCode="0.0"/>
    <numFmt numFmtId="169" formatCode="0.00000"/>
    <numFmt numFmtId="170" formatCode="0.000000"/>
    <numFmt numFmtId="171" formatCode="0.0%"/>
    <numFmt numFmtId="172" formatCode="&quot;£&quot;#,##0"/>
    <numFmt numFmtId="173" formatCode="#,##0_ ;[Red]\-#,##0\ "/>
    <numFmt numFmtId="174" formatCode="#,##0.000"/>
    <numFmt numFmtId="175" formatCode="&quot;£&quot;#,##0.00"/>
    <numFmt numFmtId="176" formatCode="0.000000000"/>
    <numFmt numFmtId="177" formatCode="0.00000000000"/>
  </numFmts>
  <fonts count="25" x14ac:knownFonts="1">
    <font>
      <sz val="11"/>
      <color theme="1"/>
      <name val="Calibri"/>
      <family val="2"/>
      <scheme val="minor"/>
    </font>
    <font>
      <sz val="12"/>
      <color theme="1"/>
      <name val="Calibri"/>
      <family val="2"/>
      <scheme val="minor"/>
    </font>
    <font>
      <sz val="11"/>
      <color rgb="FF000000"/>
      <name val="Calibri"/>
      <family val="2"/>
      <scheme val="minor"/>
    </font>
    <font>
      <u/>
      <sz val="11"/>
      <color theme="10"/>
      <name val="Calibri"/>
      <family val="2"/>
      <scheme val="minor"/>
    </font>
    <font>
      <sz val="8"/>
      <name val="Calibri"/>
      <family val="2"/>
      <scheme val="minor"/>
    </font>
    <font>
      <sz val="12"/>
      <color theme="1"/>
      <name val="Calibri"/>
      <family val="2"/>
      <scheme val="minor"/>
    </font>
    <font>
      <sz val="12"/>
      <color rgb="FF000000"/>
      <name val="Calibri"/>
      <family val="2"/>
      <scheme val="minor"/>
    </font>
    <font>
      <sz val="12"/>
      <color theme="1"/>
      <name val="Times New Roman"/>
      <family val="1"/>
    </font>
    <font>
      <sz val="12"/>
      <color rgb="FF231F20"/>
      <name val="Arial"/>
      <family val="2"/>
    </font>
    <font>
      <b/>
      <sz val="12"/>
      <color theme="1"/>
      <name val="Calibri"/>
      <family val="2"/>
      <scheme val="minor"/>
    </font>
    <font>
      <sz val="9"/>
      <color rgb="FF222222"/>
      <name val="Segoe UI"/>
      <family val="2"/>
    </font>
    <font>
      <i/>
      <sz val="9"/>
      <color rgb="FF222222"/>
      <name val="Segoe UI"/>
      <family val="2"/>
    </font>
    <font>
      <sz val="12"/>
      <color rgb="FFFF0000"/>
      <name val="Calibri"/>
      <family val="2"/>
      <scheme val="minor"/>
    </font>
    <font>
      <sz val="18"/>
      <color rgb="FF0B0C0C"/>
      <name val="Arial"/>
      <family val="2"/>
    </font>
    <font>
      <b/>
      <sz val="11"/>
      <color theme="1"/>
      <name val="Calibri"/>
      <family val="2"/>
      <scheme val="minor"/>
    </font>
    <font>
      <sz val="8"/>
      <color theme="1"/>
      <name val="Calibri"/>
      <family val="2"/>
      <scheme val="minor"/>
    </font>
    <font>
      <sz val="9"/>
      <color theme="1"/>
      <name val="Calibri"/>
      <family val="2"/>
      <scheme val="minor"/>
    </font>
    <font>
      <sz val="14"/>
      <color theme="1"/>
      <name val="Calibri"/>
      <family val="2"/>
      <scheme val="minor"/>
    </font>
    <font>
      <sz val="16"/>
      <color theme="1"/>
      <name val="Calibri"/>
      <family val="2"/>
      <scheme val="minor"/>
    </font>
    <font>
      <sz val="10"/>
      <color theme="1"/>
      <name val="Calibri"/>
      <family val="2"/>
      <scheme val="minor"/>
    </font>
    <font>
      <b/>
      <sz val="9"/>
      <color theme="1"/>
      <name val="Calibri"/>
      <family val="2"/>
      <scheme val="minor"/>
    </font>
    <font>
      <b/>
      <sz val="11"/>
      <color theme="0"/>
      <name val="Calibri"/>
      <family val="2"/>
      <scheme val="minor"/>
    </font>
    <font>
      <sz val="11"/>
      <color theme="0"/>
      <name val="Calibri"/>
      <family val="2"/>
      <scheme val="minor"/>
    </font>
    <font>
      <b/>
      <sz val="10"/>
      <color theme="1"/>
      <name val="Calibri"/>
      <family val="2"/>
      <scheme val="minor"/>
    </font>
    <font>
      <b/>
      <sz val="8"/>
      <color theme="1"/>
      <name val="Calibri"/>
      <family val="2"/>
      <scheme val="minor"/>
    </font>
  </fonts>
  <fills count="34">
    <fill>
      <patternFill patternType="none"/>
    </fill>
    <fill>
      <patternFill patternType="gray125"/>
    </fill>
    <fill>
      <patternFill patternType="solid">
        <fgColor theme="2" tint="-9.9978637043366805E-2"/>
        <bgColor indexed="64"/>
      </patternFill>
    </fill>
    <fill>
      <patternFill patternType="solid">
        <fgColor theme="4"/>
        <bgColor indexed="64"/>
      </patternFill>
    </fill>
    <fill>
      <patternFill patternType="solid">
        <fgColor theme="9"/>
        <bgColor indexed="64"/>
      </patternFill>
    </fill>
    <fill>
      <patternFill patternType="solid">
        <fgColor theme="7" tint="-0.249977111117893"/>
        <bgColor indexed="64"/>
      </patternFill>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theme="4" tint="0.79998168889431442"/>
        <bgColor indexed="64"/>
      </patternFill>
    </fill>
    <fill>
      <patternFill patternType="solid">
        <fgColor theme="5"/>
        <bgColor indexed="64"/>
      </patternFill>
    </fill>
    <fill>
      <patternFill patternType="solid">
        <fgColor theme="3" tint="0.79998168889431442"/>
        <bgColor indexed="64"/>
      </patternFill>
    </fill>
    <fill>
      <patternFill patternType="solid">
        <fgColor theme="9" tint="0.59999389629810485"/>
        <bgColor indexed="64"/>
      </patternFill>
    </fill>
    <fill>
      <patternFill patternType="solid">
        <fgColor theme="7" tint="0.79998168889431442"/>
        <bgColor indexed="64"/>
      </patternFill>
    </fill>
    <fill>
      <patternFill patternType="solid">
        <fgColor theme="6"/>
        <bgColor indexed="64"/>
      </patternFill>
    </fill>
    <fill>
      <patternFill patternType="solid">
        <fgColor theme="7" tint="0.59999389629810485"/>
        <bgColor indexed="64"/>
      </patternFill>
    </fill>
    <fill>
      <patternFill patternType="solid">
        <fgColor rgb="FF00B0F0"/>
        <bgColor indexed="64"/>
      </patternFill>
    </fill>
    <fill>
      <patternFill patternType="solid">
        <fgColor theme="9" tint="0.79998168889431442"/>
        <bgColor indexed="64"/>
      </patternFill>
    </fill>
    <fill>
      <patternFill patternType="solid">
        <fgColor theme="7"/>
        <bgColor indexed="64"/>
      </patternFill>
    </fill>
    <fill>
      <patternFill patternType="solid">
        <fgColor theme="4"/>
        <bgColor theme="4"/>
      </patternFill>
    </fill>
    <fill>
      <patternFill patternType="solid">
        <fgColor rgb="FFFFFF00"/>
        <bgColor indexed="64"/>
      </patternFill>
    </fill>
    <fill>
      <patternFill patternType="solid">
        <fgColor rgb="FF92D050"/>
        <bgColor indexed="64"/>
      </patternFill>
    </fill>
    <fill>
      <patternFill patternType="solid">
        <fgColor theme="4" tint="0.39997558519241921"/>
        <bgColor indexed="64"/>
      </patternFill>
    </fill>
    <fill>
      <patternFill patternType="solid">
        <fgColor rgb="FF00B050"/>
        <bgColor indexed="64"/>
      </patternFill>
    </fill>
    <fill>
      <patternFill patternType="solid">
        <fgColor theme="2" tint="-0.249977111117893"/>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rgb="FFFFC000"/>
        <bgColor indexed="64"/>
      </patternFill>
    </fill>
    <fill>
      <patternFill patternType="solid">
        <fgColor theme="0" tint="-4.9989318521683403E-2"/>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4" tint="0.59999389629810485"/>
        <bgColor indexed="64"/>
      </patternFill>
    </fill>
    <fill>
      <patternFill patternType="solid">
        <fgColor theme="4" tint="-0.249977111117893"/>
        <bgColor indexed="64"/>
      </patternFill>
    </fill>
    <fill>
      <patternFill patternType="solid">
        <fgColor theme="8" tint="0.39997558519241921"/>
        <bgColor indexed="64"/>
      </patternFill>
    </fill>
  </fills>
  <borders count="39">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theme="4" tint="0.39997558519241921"/>
      </left>
      <right/>
      <top style="thin">
        <color theme="4" tint="0.39997558519241921"/>
      </top>
      <bottom/>
      <diagonal/>
    </border>
    <border>
      <left/>
      <right/>
      <top style="thin">
        <color theme="4" tint="0.39997558519241921"/>
      </top>
      <bottom/>
      <diagonal/>
    </border>
    <border>
      <left/>
      <right style="thin">
        <color theme="4" tint="0.39997558519241921"/>
      </right>
      <top style="thin">
        <color theme="4" tint="0.39997558519241921"/>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theme="3" tint="0.79998168889431442"/>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2">
    <xf numFmtId="0" fontId="0" fillId="0" borderId="0"/>
    <xf numFmtId="0" fontId="3" fillId="0" borderId="0" applyNumberFormat="0" applyFill="0" applyBorder="0" applyAlignment="0" applyProtection="0"/>
  </cellStyleXfs>
  <cellXfs count="635">
    <xf numFmtId="0" fontId="0" fillId="0" borderId="0" xfId="0"/>
    <xf numFmtId="0" fontId="0" fillId="0" borderId="2" xfId="0" applyBorder="1" applyAlignment="1">
      <alignment horizontal="right"/>
    </xf>
    <xf numFmtId="0" fontId="0" fillId="0" borderId="5" xfId="0" applyBorder="1" applyAlignment="1">
      <alignment horizontal="left"/>
    </xf>
    <xf numFmtId="0" fontId="0" fillId="0" borderId="0" xfId="0" applyAlignment="1">
      <alignment horizontal="center"/>
    </xf>
    <xf numFmtId="0" fontId="0" fillId="0" borderId="6" xfId="0" applyBorder="1"/>
    <xf numFmtId="0" fontId="0" fillId="0" borderId="5" xfId="0" applyBorder="1"/>
    <xf numFmtId="14" fontId="0" fillId="3" borderId="0" xfId="0" applyNumberFormat="1" applyFill="1"/>
    <xf numFmtId="0" fontId="0" fillId="3" borderId="0" xfId="0" applyFill="1"/>
    <xf numFmtId="14" fontId="0" fillId="0" borderId="0" xfId="0" applyNumberFormat="1"/>
    <xf numFmtId="0" fontId="0" fillId="4" borderId="0" xfId="0" applyFill="1"/>
    <xf numFmtId="0" fontId="0" fillId="6" borderId="0" xfId="0" applyFill="1"/>
    <xf numFmtId="0" fontId="0" fillId="5" borderId="0" xfId="0" applyFill="1"/>
    <xf numFmtId="0" fontId="0" fillId="0" borderId="7" xfId="0" applyBorder="1"/>
    <xf numFmtId="0" fontId="0" fillId="0" borderId="8" xfId="0" applyBorder="1"/>
    <xf numFmtId="0" fontId="0" fillId="3" borderId="8" xfId="0" applyFill="1" applyBorder="1"/>
    <xf numFmtId="0" fontId="0" fillId="4" borderId="8" xfId="0" applyFill="1" applyBorder="1"/>
    <xf numFmtId="0" fontId="0" fillId="5" borderId="8" xfId="0" applyFill="1" applyBorder="1"/>
    <xf numFmtId="0" fontId="0" fillId="0" borderId="9" xfId="0" applyBorder="1"/>
    <xf numFmtId="0" fontId="5" fillId="0" borderId="1" xfId="0" applyFont="1" applyBorder="1" applyAlignment="1">
      <alignment vertical="top"/>
    </xf>
    <xf numFmtId="0" fontId="6" fillId="0" borderId="1" xfId="0" applyFont="1" applyBorder="1" applyAlignment="1">
      <alignment horizontal="center" vertical="top"/>
    </xf>
    <xf numFmtId="0" fontId="5" fillId="0" borderId="1" xfId="0" applyFont="1" applyBorder="1" applyAlignment="1">
      <alignment vertical="top" wrapText="1"/>
    </xf>
    <xf numFmtId="0" fontId="5" fillId="0" borderId="1" xfId="0" applyFont="1" applyBorder="1" applyAlignment="1">
      <alignment horizontal="center" vertical="top" wrapText="1"/>
    </xf>
    <xf numFmtId="0" fontId="5" fillId="0" borderId="0" xfId="0" applyFont="1" applyAlignment="1">
      <alignment vertical="top" wrapText="1"/>
    </xf>
    <xf numFmtId="0" fontId="5" fillId="7" borderId="1" xfId="0" applyFont="1" applyFill="1" applyBorder="1" applyAlignment="1">
      <alignment vertical="top" wrapText="1"/>
    </xf>
    <xf numFmtId="0" fontId="5" fillId="8" borderId="1" xfId="0" applyFont="1" applyFill="1" applyBorder="1" applyAlignment="1">
      <alignment vertical="top" wrapText="1"/>
    </xf>
    <xf numFmtId="0" fontId="5" fillId="8" borderId="1" xfId="0" applyFont="1" applyFill="1" applyBorder="1" applyAlignment="1">
      <alignment vertical="top"/>
    </xf>
    <xf numFmtId="0" fontId="6" fillId="8" borderId="1" xfId="0" applyFont="1" applyFill="1" applyBorder="1" applyAlignment="1">
      <alignment horizontal="center" vertical="top"/>
    </xf>
    <xf numFmtId="0" fontId="6" fillId="0" borderId="1" xfId="0" applyFont="1" applyBorder="1" applyAlignment="1">
      <alignment vertical="top" wrapText="1"/>
    </xf>
    <xf numFmtId="0" fontId="5" fillId="8" borderId="1" xfId="0" applyFont="1" applyFill="1" applyBorder="1" applyAlignment="1">
      <alignment horizontal="center" vertical="top" wrapText="1"/>
    </xf>
    <xf numFmtId="0" fontId="5" fillId="8" borderId="1" xfId="0" applyFont="1" applyFill="1" applyBorder="1" applyAlignment="1">
      <alignment horizontal="left" vertical="top" wrapText="1"/>
    </xf>
    <xf numFmtId="0" fontId="5" fillId="7" borderId="1" xfId="0" applyFont="1" applyFill="1" applyBorder="1" applyAlignment="1">
      <alignment horizontal="left" vertical="top"/>
    </xf>
    <xf numFmtId="0" fontId="5" fillId="7" borderId="1" xfId="0" applyFont="1" applyFill="1" applyBorder="1" applyAlignment="1">
      <alignment vertical="top"/>
    </xf>
    <xf numFmtId="0" fontId="6" fillId="7" borderId="1" xfId="0" applyFont="1" applyFill="1" applyBorder="1" applyAlignment="1">
      <alignment vertical="top" wrapText="1"/>
    </xf>
    <xf numFmtId="0" fontId="6" fillId="7" borderId="1" xfId="0" applyFont="1" applyFill="1" applyBorder="1" applyAlignment="1">
      <alignment horizontal="center" vertical="top"/>
    </xf>
    <xf numFmtId="0" fontId="0" fillId="7" borderId="1" xfId="0" applyFill="1" applyBorder="1" applyAlignment="1">
      <alignment vertical="top"/>
    </xf>
    <xf numFmtId="0" fontId="2" fillId="7" borderId="1" xfId="0" applyFont="1" applyFill="1" applyBorder="1" applyAlignment="1">
      <alignment vertical="top" wrapText="1"/>
    </xf>
    <xf numFmtId="0" fontId="2" fillId="7" borderId="1" xfId="0" applyFont="1" applyFill="1" applyBorder="1" applyAlignment="1">
      <alignment horizontal="center" vertical="top"/>
    </xf>
    <xf numFmtId="0" fontId="0" fillId="7" borderId="1" xfId="0" applyFill="1" applyBorder="1" applyAlignment="1">
      <alignment vertical="top" wrapText="1"/>
    </xf>
    <xf numFmtId="0" fontId="0" fillId="2" borderId="1" xfId="0" applyFill="1" applyBorder="1" applyAlignment="1">
      <alignment horizontal="center" vertical="top"/>
    </xf>
    <xf numFmtId="0" fontId="2" fillId="2" borderId="1" xfId="0" applyFont="1" applyFill="1" applyBorder="1" applyAlignment="1">
      <alignment horizontal="center" vertical="top" wrapText="1"/>
    </xf>
    <xf numFmtId="0" fontId="6" fillId="7" borderId="1" xfId="0" applyFont="1" applyFill="1" applyBorder="1" applyAlignment="1">
      <alignment vertical="top"/>
    </xf>
    <xf numFmtId="0" fontId="3" fillId="7" borderId="1" xfId="1" applyFill="1" applyBorder="1" applyAlignment="1">
      <alignment vertical="top" wrapText="1"/>
    </xf>
    <xf numFmtId="0" fontId="0" fillId="0" borderId="0" xfId="0" applyAlignment="1">
      <alignment vertical="top" wrapText="1"/>
    </xf>
    <xf numFmtId="0" fontId="7" fillId="0" borderId="1" xfId="0" applyFont="1" applyBorder="1" applyAlignment="1">
      <alignment vertical="top" wrapText="1"/>
    </xf>
    <xf numFmtId="0" fontId="8" fillId="0" borderId="1" xfId="0" applyFont="1" applyBorder="1" applyAlignment="1">
      <alignment vertical="top" wrapText="1"/>
    </xf>
    <xf numFmtId="0" fontId="9" fillId="0" borderId="1" xfId="0" applyFont="1" applyBorder="1" applyAlignment="1">
      <alignment vertical="top" wrapText="1"/>
    </xf>
    <xf numFmtId="0" fontId="3" fillId="0" borderId="1" xfId="1" applyBorder="1" applyAlignment="1">
      <alignment vertical="top" wrapText="1"/>
    </xf>
    <xf numFmtId="0" fontId="0" fillId="2" borderId="0" xfId="0" applyFill="1"/>
    <xf numFmtId="0" fontId="6" fillId="0" borderId="1" xfId="0" applyFont="1" applyBorder="1" applyAlignment="1">
      <alignment horizontal="center" vertical="top" wrapText="1"/>
    </xf>
    <xf numFmtId="0" fontId="0" fillId="9" borderId="0" xfId="0" applyFill="1"/>
    <xf numFmtId="0" fontId="13" fillId="0" borderId="0" xfId="0" applyFont="1" applyAlignment="1">
      <alignment vertical="center" wrapText="1"/>
    </xf>
    <xf numFmtId="0" fontId="0" fillId="0" borderId="1" xfId="0" applyBorder="1" applyAlignment="1">
      <alignment horizontal="center"/>
    </xf>
    <xf numFmtId="0" fontId="0" fillId="0" borderId="1" xfId="0" applyBorder="1"/>
    <xf numFmtId="166" fontId="0" fillId="0" borderId="1" xfId="0" applyNumberFormat="1" applyBorder="1" applyAlignment="1">
      <alignment horizontal="center"/>
    </xf>
    <xf numFmtId="167" fontId="0" fillId="0" borderId="1" xfId="0" applyNumberFormat="1" applyBorder="1" applyAlignment="1">
      <alignment horizontal="center"/>
    </xf>
    <xf numFmtId="0" fontId="0" fillId="10" borderId="1" xfId="0" applyFill="1"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10" borderId="15" xfId="0" applyFill="1" applyBorder="1"/>
    <xf numFmtId="0" fontId="0" fillId="0" borderId="16" xfId="0" applyBorder="1"/>
    <xf numFmtId="166" fontId="0" fillId="0" borderId="1" xfId="0" applyNumberFormat="1" applyBorder="1"/>
    <xf numFmtId="0" fontId="0" fillId="2" borderId="1" xfId="0" applyFill="1" applyBorder="1"/>
    <xf numFmtId="2" fontId="0" fillId="0" borderId="1" xfId="0" applyNumberFormat="1" applyBorder="1" applyAlignment="1">
      <alignment wrapText="1"/>
    </xf>
    <xf numFmtId="0" fontId="0" fillId="2" borderId="1" xfId="0" applyFill="1" applyBorder="1" applyAlignment="1">
      <alignment horizontal="center" vertical="center"/>
    </xf>
    <xf numFmtId="2" fontId="0" fillId="0" borderId="1" xfId="0" applyNumberFormat="1" applyBorder="1"/>
    <xf numFmtId="168" fontId="0" fillId="0" borderId="1" xfId="0" applyNumberFormat="1" applyBorder="1" applyAlignment="1">
      <alignment horizontal="center"/>
    </xf>
    <xf numFmtId="0" fontId="0" fillId="2" borderId="1" xfId="0" applyFill="1" applyBorder="1" applyAlignment="1">
      <alignment horizontal="center"/>
    </xf>
    <xf numFmtId="0" fontId="0" fillId="0" borderId="18" xfId="0" applyBorder="1"/>
    <xf numFmtId="0" fontId="0" fillId="0" borderId="1" xfId="0" applyBorder="1" applyAlignment="1">
      <alignment horizontal="center" vertical="center"/>
    </xf>
    <xf numFmtId="0" fontId="0" fillId="0" borderId="1" xfId="0" applyBorder="1" applyAlignment="1">
      <alignment horizontal="left" vertical="center"/>
    </xf>
    <xf numFmtId="0" fontId="0" fillId="2" borderId="0" xfId="0" applyFill="1" applyAlignment="1">
      <alignment horizontal="center" vertical="center"/>
    </xf>
    <xf numFmtId="0" fontId="0" fillId="0" borderId="0" xfId="0" applyAlignment="1">
      <alignment horizontal="center" vertical="center"/>
    </xf>
    <xf numFmtId="2" fontId="0" fillId="0" borderId="0" xfId="0" applyNumberFormat="1"/>
    <xf numFmtId="166" fontId="0" fillId="2" borderId="0" xfId="0" applyNumberFormat="1" applyFill="1" applyAlignment="1">
      <alignment horizontal="center"/>
    </xf>
    <xf numFmtId="167" fontId="0" fillId="0" borderId="0" xfId="0" applyNumberFormat="1" applyAlignment="1">
      <alignment horizontal="center" vertical="center"/>
    </xf>
    <xf numFmtId="166" fontId="0" fillId="0" borderId="0" xfId="0" applyNumberFormat="1" applyAlignment="1">
      <alignment horizontal="center" vertical="center"/>
    </xf>
    <xf numFmtId="2" fontId="0" fillId="0" borderId="0" xfId="0" applyNumberFormat="1" applyAlignment="1">
      <alignment horizontal="center" vertical="center"/>
    </xf>
    <xf numFmtId="0" fontId="0" fillId="0" borderId="0" xfId="0" applyAlignment="1">
      <alignment vertical="center"/>
    </xf>
    <xf numFmtId="0" fontId="16" fillId="2" borderId="0" xfId="0" applyFont="1" applyFill="1" applyAlignment="1">
      <alignment horizontal="center"/>
    </xf>
    <xf numFmtId="0" fontId="0" fillId="11" borderId="0" xfId="0" applyFill="1"/>
    <xf numFmtId="0" fontId="0" fillId="12" borderId="0" xfId="0" applyFill="1"/>
    <xf numFmtId="0" fontId="17" fillId="0" borderId="0" xfId="0" applyFont="1"/>
    <xf numFmtId="0" fontId="0" fillId="13" borderId="0" xfId="0" applyFill="1"/>
    <xf numFmtId="0" fontId="0" fillId="14" borderId="0" xfId="0" applyFill="1"/>
    <xf numFmtId="0" fontId="2" fillId="2" borderId="18" xfId="0" applyFont="1" applyFill="1" applyBorder="1" applyAlignment="1">
      <alignment horizontal="center" vertical="top" wrapText="1"/>
    </xf>
    <xf numFmtId="0" fontId="5" fillId="8" borderId="18" xfId="0" applyFont="1" applyFill="1" applyBorder="1" applyAlignment="1">
      <alignment horizontal="left" vertical="top" wrapText="1"/>
    </xf>
    <xf numFmtId="0" fontId="5" fillId="0" borderId="18" xfId="0" applyFont="1" applyBorder="1" applyAlignment="1">
      <alignment vertical="top" wrapText="1"/>
    </xf>
    <xf numFmtId="0" fontId="5" fillId="8" borderId="18" xfId="0" applyFont="1" applyFill="1" applyBorder="1" applyAlignment="1">
      <alignment vertical="top" wrapText="1"/>
    </xf>
    <xf numFmtId="0" fontId="5" fillId="0" borderId="18" xfId="0" applyFont="1" applyBorder="1" applyAlignment="1">
      <alignment vertical="top"/>
    </xf>
    <xf numFmtId="0" fontId="6" fillId="7" borderId="18" xfId="0" applyFont="1" applyFill="1" applyBorder="1" applyAlignment="1">
      <alignment vertical="top" wrapText="1"/>
    </xf>
    <xf numFmtId="0" fontId="0" fillId="7" borderId="18" xfId="0" applyFill="1" applyBorder="1" applyAlignment="1">
      <alignment vertical="top"/>
    </xf>
    <xf numFmtId="0" fontId="5" fillId="7" borderId="18" xfId="0" applyFont="1" applyFill="1" applyBorder="1" applyAlignment="1">
      <alignment vertical="top"/>
    </xf>
    <xf numFmtId="0" fontId="5" fillId="7" borderId="18" xfId="0" applyFont="1" applyFill="1" applyBorder="1" applyAlignment="1">
      <alignment vertical="top" wrapText="1"/>
    </xf>
    <xf numFmtId="0" fontId="3" fillId="0" borderId="1" xfId="1" applyBorder="1" applyAlignment="1">
      <alignment horizontal="left" vertical="top" wrapText="1"/>
    </xf>
    <xf numFmtId="0" fontId="3" fillId="8" borderId="1" xfId="1" applyFill="1" applyBorder="1" applyAlignment="1">
      <alignment vertical="top" wrapText="1"/>
    </xf>
    <xf numFmtId="0" fontId="0" fillId="0" borderId="1" xfId="0" applyBorder="1" applyAlignment="1">
      <alignment vertical="top"/>
    </xf>
    <xf numFmtId="0" fontId="0" fillId="0" borderId="1" xfId="0" applyBorder="1" applyAlignment="1">
      <alignment vertical="top" wrapText="1"/>
    </xf>
    <xf numFmtId="0" fontId="0" fillId="13" borderId="0" xfId="0" applyFill="1" applyAlignment="1">
      <alignment horizontal="center"/>
    </xf>
    <xf numFmtId="2" fontId="0" fillId="0" borderId="1" xfId="0" applyNumberFormat="1" applyBorder="1" applyAlignment="1">
      <alignment horizontal="center" wrapText="1"/>
    </xf>
    <xf numFmtId="170" fontId="0" fillId="0" borderId="0" xfId="0" applyNumberFormat="1" applyAlignment="1">
      <alignment horizontal="center"/>
    </xf>
    <xf numFmtId="0" fontId="0" fillId="0" borderId="0" xfId="0" applyAlignment="1">
      <alignment horizontal="left"/>
    </xf>
    <xf numFmtId="0" fontId="16" fillId="0" borderId="0" xfId="0" applyFont="1" applyAlignment="1">
      <alignment horizontal="center" wrapText="1"/>
    </xf>
    <xf numFmtId="0" fontId="16" fillId="11" borderId="0" xfId="0" applyFont="1" applyFill="1" applyAlignment="1">
      <alignment horizontal="center" wrapText="1"/>
    </xf>
    <xf numFmtId="0" fontId="0" fillId="11" borderId="0" xfId="0" applyFill="1" applyAlignment="1">
      <alignment horizontal="center"/>
    </xf>
    <xf numFmtId="170" fontId="0" fillId="11" borderId="0" xfId="0" applyNumberFormat="1" applyFill="1"/>
    <xf numFmtId="0" fontId="16" fillId="14" borderId="0" xfId="0" applyFont="1" applyFill="1" applyAlignment="1">
      <alignment horizontal="center" wrapText="1"/>
    </xf>
    <xf numFmtId="0" fontId="16" fillId="15" borderId="0" xfId="0" applyFont="1" applyFill="1" applyAlignment="1">
      <alignment horizontal="center" wrapText="1"/>
    </xf>
    <xf numFmtId="167" fontId="0" fillId="0" borderId="0" xfId="0" applyNumberFormat="1"/>
    <xf numFmtId="0" fontId="16" fillId="12" borderId="0" xfId="0" applyFont="1" applyFill="1" applyAlignment="1">
      <alignment horizontal="center" wrapText="1"/>
    </xf>
    <xf numFmtId="0" fontId="16" fillId="11" borderId="0" xfId="0" applyFont="1" applyFill="1" applyAlignment="1">
      <alignment horizontal="center" vertical="center"/>
    </xf>
    <xf numFmtId="0" fontId="19" fillId="0" borderId="0" xfId="0" applyFont="1" applyAlignment="1">
      <alignment vertical="center"/>
    </xf>
    <xf numFmtId="0" fontId="16" fillId="14" borderId="0" xfId="0" applyFont="1" applyFill="1" applyAlignment="1">
      <alignment horizontal="center" vertical="center"/>
    </xf>
    <xf numFmtId="167" fontId="0" fillId="14" borderId="0" xfId="0" applyNumberFormat="1" applyFill="1" applyAlignment="1">
      <alignment horizontal="center"/>
    </xf>
    <xf numFmtId="167" fontId="0" fillId="17" borderId="0" xfId="0" applyNumberFormat="1" applyFill="1" applyAlignment="1">
      <alignment horizontal="center"/>
    </xf>
    <xf numFmtId="166" fontId="0" fillId="3" borderId="0" xfId="0" applyNumberFormat="1" applyFill="1" applyAlignment="1">
      <alignment horizontal="center"/>
    </xf>
    <xf numFmtId="166" fontId="0" fillId="18" borderId="0" xfId="0" applyNumberFormat="1" applyFill="1" applyAlignment="1">
      <alignment horizontal="center"/>
    </xf>
    <xf numFmtId="166" fontId="0" fillId="17" borderId="0" xfId="0" applyNumberFormat="1" applyFill="1" applyAlignment="1">
      <alignment horizontal="center"/>
    </xf>
    <xf numFmtId="166" fontId="0" fillId="0" borderId="0" xfId="0" applyNumberFormat="1"/>
    <xf numFmtId="0" fontId="0" fillId="0" borderId="23" xfId="0" applyBorder="1"/>
    <xf numFmtId="0" fontId="0" fillId="0" borderId="24" xfId="0" applyBorder="1"/>
    <xf numFmtId="0" fontId="0" fillId="0" borderId="25" xfId="0" applyBorder="1"/>
    <xf numFmtId="0" fontId="0" fillId="0" borderId="26" xfId="0" applyBorder="1"/>
    <xf numFmtId="0" fontId="0" fillId="0" borderId="25" xfId="0" applyBorder="1" applyAlignment="1">
      <alignment vertical="center"/>
    </xf>
    <xf numFmtId="2" fontId="0" fillId="0" borderId="26" xfId="0" applyNumberFormat="1" applyBorder="1" applyAlignment="1">
      <alignment horizontal="center" vertical="center"/>
    </xf>
    <xf numFmtId="0" fontId="0" fillId="0" borderId="17" xfId="0" applyBorder="1"/>
    <xf numFmtId="0" fontId="0" fillId="0" borderId="28" xfId="0" applyBorder="1"/>
    <xf numFmtId="0" fontId="0" fillId="0" borderId="27" xfId="0" applyBorder="1"/>
    <xf numFmtId="0" fontId="14" fillId="0" borderId="25" xfId="0" applyFont="1" applyBorder="1" applyAlignment="1">
      <alignment horizontal="center" vertical="center"/>
    </xf>
    <xf numFmtId="0" fontId="14" fillId="0" borderId="25" xfId="0" applyFont="1" applyBorder="1" applyAlignment="1">
      <alignment vertical="center"/>
    </xf>
    <xf numFmtId="0" fontId="0" fillId="0" borderId="0" xfId="0" applyAlignment="1">
      <alignment horizontal="center" vertical="center" wrapText="1"/>
    </xf>
    <xf numFmtId="1" fontId="0" fillId="0" borderId="26" xfId="0" applyNumberFormat="1" applyBorder="1" applyAlignment="1">
      <alignment horizontal="center"/>
    </xf>
    <xf numFmtId="0" fontId="0" fillId="0" borderId="25" xfId="0" applyBorder="1" applyAlignment="1">
      <alignment horizontal="center" vertical="center"/>
    </xf>
    <xf numFmtId="0" fontId="0" fillId="0" borderId="0" xfId="0" applyAlignment="1">
      <alignment horizontal="center" wrapText="1"/>
    </xf>
    <xf numFmtId="0" fontId="0" fillId="0" borderId="26" xfId="0" applyBorder="1" applyAlignment="1">
      <alignment horizontal="center" wrapText="1"/>
    </xf>
    <xf numFmtId="0" fontId="0" fillId="0" borderId="0" xfId="0" applyAlignment="1">
      <alignment horizontal="left" vertical="center"/>
    </xf>
    <xf numFmtId="0" fontId="0" fillId="0" borderId="25" xfId="0" applyBorder="1" applyAlignment="1">
      <alignment horizontal="center" wrapText="1"/>
    </xf>
    <xf numFmtId="0" fontId="3" fillId="0" borderId="0" xfId="1"/>
    <xf numFmtId="0" fontId="14" fillId="0" borderId="26" xfId="0" applyFont="1" applyBorder="1" applyAlignment="1">
      <alignment horizontal="center" vertical="center"/>
    </xf>
    <xf numFmtId="0" fontId="0" fillId="0" borderId="27" xfId="0" applyBorder="1" applyAlignment="1">
      <alignment wrapText="1"/>
    </xf>
    <xf numFmtId="164" fontId="0" fillId="0" borderId="0" xfId="0" applyNumberFormat="1" applyAlignment="1">
      <alignment horizontal="center"/>
    </xf>
    <xf numFmtId="1" fontId="0" fillId="0" borderId="0" xfId="0" applyNumberFormat="1" applyAlignment="1">
      <alignment horizontal="center"/>
    </xf>
    <xf numFmtId="10" fontId="0" fillId="0" borderId="0" xfId="0" applyNumberFormat="1" applyAlignment="1">
      <alignment horizontal="center"/>
    </xf>
    <xf numFmtId="0" fontId="19" fillId="0" borderId="0" xfId="0" applyFont="1" applyAlignment="1">
      <alignment horizontal="center" vertical="center" wrapText="1"/>
    </xf>
    <xf numFmtId="0" fontId="19" fillId="0" borderId="25" xfId="0" applyFont="1" applyBorder="1" applyAlignment="1">
      <alignment horizontal="center" vertical="center" wrapText="1"/>
    </xf>
    <xf numFmtId="0" fontId="19" fillId="0" borderId="26" xfId="0" applyFont="1" applyBorder="1" applyAlignment="1">
      <alignment horizontal="center" vertical="center" wrapText="1"/>
    </xf>
    <xf numFmtId="164" fontId="0" fillId="0" borderId="26" xfId="0" applyNumberFormat="1" applyBorder="1" applyAlignment="1">
      <alignment horizontal="center"/>
    </xf>
    <xf numFmtId="0" fontId="0" fillId="0" borderId="26" xfId="0" applyBorder="1" applyAlignment="1">
      <alignment horizontal="center" vertical="center" wrapText="1"/>
    </xf>
    <xf numFmtId="164" fontId="0" fillId="0" borderId="25" xfId="0" applyNumberFormat="1" applyBorder="1" applyAlignment="1">
      <alignment horizontal="center"/>
    </xf>
    <xf numFmtId="0" fontId="0" fillId="0" borderId="26" xfId="0" applyBorder="1" applyAlignment="1">
      <alignment horizontal="center" vertical="center"/>
    </xf>
    <xf numFmtId="10" fontId="0" fillId="0" borderId="26" xfId="0" applyNumberFormat="1" applyBorder="1" applyAlignment="1">
      <alignment horizontal="center"/>
    </xf>
    <xf numFmtId="0" fontId="0" fillId="0" borderId="25" xfId="0" applyBorder="1" applyAlignment="1">
      <alignment horizontal="center" vertical="center" wrapText="1"/>
    </xf>
    <xf numFmtId="0" fontId="14" fillId="3" borderId="22" xfId="0" applyFont="1" applyFill="1" applyBorder="1" applyAlignment="1">
      <alignment horizontal="center"/>
    </xf>
    <xf numFmtId="0" fontId="0" fillId="3" borderId="27" xfId="0" applyFill="1" applyBorder="1"/>
    <xf numFmtId="10" fontId="0" fillId="3" borderId="28" xfId="0" applyNumberFormat="1" applyFill="1" applyBorder="1" applyAlignment="1">
      <alignment horizontal="center"/>
    </xf>
    <xf numFmtId="1" fontId="0" fillId="3" borderId="0" xfId="0" applyNumberFormat="1" applyFill="1" applyAlignment="1">
      <alignment horizontal="center"/>
    </xf>
    <xf numFmtId="164" fontId="0" fillId="3" borderId="27" xfId="0" applyNumberFormat="1" applyFill="1" applyBorder="1" applyAlignment="1">
      <alignment horizontal="center"/>
    </xf>
    <xf numFmtId="164" fontId="0" fillId="3" borderId="28" xfId="0" applyNumberFormat="1" applyFill="1" applyBorder="1" applyAlignment="1">
      <alignment horizontal="center"/>
    </xf>
    <xf numFmtId="164" fontId="0" fillId="3" borderId="0" xfId="0" applyNumberFormat="1" applyFill="1" applyAlignment="1">
      <alignment horizontal="center"/>
    </xf>
    <xf numFmtId="164" fontId="0" fillId="3" borderId="17" xfId="0" applyNumberFormat="1" applyFill="1" applyBorder="1" applyAlignment="1">
      <alignment horizontal="center"/>
    </xf>
    <xf numFmtId="0" fontId="0" fillId="3" borderId="24" xfId="0" applyFill="1" applyBorder="1"/>
    <xf numFmtId="0" fontId="14" fillId="0" borderId="0" xfId="0" applyFont="1"/>
    <xf numFmtId="166" fontId="0" fillId="0" borderId="0" xfId="0" applyNumberFormat="1" applyAlignment="1">
      <alignment horizontal="center"/>
    </xf>
    <xf numFmtId="0" fontId="14" fillId="0" borderId="0" xfId="0" applyFont="1" applyAlignment="1">
      <alignment horizontal="center" vertical="center" wrapText="1"/>
    </xf>
    <xf numFmtId="2" fontId="0" fillId="0" borderId="0" xfId="0" applyNumberFormat="1" applyAlignment="1">
      <alignment horizontal="center"/>
    </xf>
    <xf numFmtId="0" fontId="15" fillId="0" borderId="0" xfId="0" applyFont="1" applyAlignment="1">
      <alignment horizontal="center" wrapText="1"/>
    </xf>
    <xf numFmtId="0" fontId="15" fillId="0" borderId="0" xfId="0" applyFont="1"/>
    <xf numFmtId="0" fontId="15" fillId="0" borderId="0" xfId="0" applyFont="1" applyAlignment="1">
      <alignment horizontal="center"/>
    </xf>
    <xf numFmtId="2" fontId="15" fillId="0" borderId="0" xfId="0" applyNumberFormat="1" applyFont="1" applyAlignment="1">
      <alignment horizontal="center"/>
    </xf>
    <xf numFmtId="0" fontId="15" fillId="0" borderId="0" xfId="0" applyFont="1" applyAlignment="1">
      <alignment wrapText="1"/>
    </xf>
    <xf numFmtId="9" fontId="0" fillId="0" borderId="0" xfId="0" applyNumberFormat="1" applyAlignment="1">
      <alignment horizontal="center"/>
    </xf>
    <xf numFmtId="0" fontId="14" fillId="0" borderId="0" xfId="0" applyFont="1" applyAlignment="1">
      <alignment horizontal="center" vertical="center"/>
    </xf>
    <xf numFmtId="0" fontId="14" fillId="0" borderId="25" xfId="0" applyFont="1" applyBorder="1"/>
    <xf numFmtId="0" fontId="0" fillId="0" borderId="26" xfId="0" applyBorder="1" applyAlignment="1">
      <alignment horizontal="center"/>
    </xf>
    <xf numFmtId="0" fontId="0" fillId="0" borderId="25" xfId="0" applyBorder="1" applyAlignment="1">
      <alignment horizontal="center"/>
    </xf>
    <xf numFmtId="9" fontId="0" fillId="0" borderId="26" xfId="0" applyNumberFormat="1" applyBorder="1" applyAlignment="1">
      <alignment horizontal="center"/>
    </xf>
    <xf numFmtId="0" fontId="0" fillId="0" borderId="27" xfId="0" applyBorder="1" applyAlignment="1">
      <alignment horizontal="center" vertical="center"/>
    </xf>
    <xf numFmtId="0" fontId="3" fillId="0" borderId="17" xfId="1" applyBorder="1" applyAlignment="1">
      <alignment vertical="center" wrapText="1"/>
    </xf>
    <xf numFmtId="10" fontId="0" fillId="0" borderId="1" xfId="0" applyNumberFormat="1" applyBorder="1" applyAlignment="1">
      <alignment horizontal="center"/>
    </xf>
    <xf numFmtId="2" fontId="0" fillId="0" borderId="26" xfId="0" applyNumberFormat="1" applyBorder="1" applyAlignment="1">
      <alignment horizontal="center"/>
    </xf>
    <xf numFmtId="0" fontId="0" fillId="18" borderId="22" xfId="0" applyFill="1" applyBorder="1"/>
    <xf numFmtId="166" fontId="0" fillId="0" borderId="26" xfId="0" applyNumberFormat="1" applyBorder="1" applyAlignment="1">
      <alignment horizontal="center"/>
    </xf>
    <xf numFmtId="0" fontId="0" fillId="0" borderId="17" xfId="0" applyBorder="1" applyAlignment="1">
      <alignment horizontal="center"/>
    </xf>
    <xf numFmtId="166" fontId="0" fillId="0" borderId="28" xfId="0" applyNumberFormat="1" applyBorder="1" applyAlignment="1">
      <alignment horizontal="center"/>
    </xf>
    <xf numFmtId="0" fontId="16" fillId="0" borderId="0" xfId="0" applyFont="1" applyAlignment="1">
      <alignment horizontal="center" vertical="center" wrapText="1"/>
    </xf>
    <xf numFmtId="0" fontId="16" fillId="0" borderId="26" xfId="0" applyFont="1" applyBorder="1" applyAlignment="1">
      <alignment horizontal="center" vertical="center" wrapText="1"/>
    </xf>
    <xf numFmtId="0" fontId="19" fillId="18" borderId="22" xfId="0" applyFont="1" applyFill="1" applyBorder="1"/>
    <xf numFmtId="0" fontId="19" fillId="0" borderId="23" xfId="0" applyFont="1" applyBorder="1"/>
    <xf numFmtId="0" fontId="19" fillId="0" borderId="24" xfId="0" applyFont="1" applyBorder="1"/>
    <xf numFmtId="0" fontId="19" fillId="0" borderId="25" xfId="0" applyFont="1" applyBorder="1"/>
    <xf numFmtId="0" fontId="19" fillId="0" borderId="0" xfId="0" applyFont="1"/>
    <xf numFmtId="0" fontId="19" fillId="0" borderId="26" xfId="0" applyFont="1" applyBorder="1"/>
    <xf numFmtId="0" fontId="19" fillId="0" borderId="25" xfId="0" applyFont="1" applyBorder="1" applyAlignment="1">
      <alignment horizontal="center"/>
    </xf>
    <xf numFmtId="0" fontId="19" fillId="0" borderId="0" xfId="0" applyFont="1" applyAlignment="1">
      <alignment horizontal="center"/>
    </xf>
    <xf numFmtId="169" fontId="19" fillId="0" borderId="0" xfId="0" applyNumberFormat="1" applyFont="1" applyAlignment="1">
      <alignment horizontal="center"/>
    </xf>
    <xf numFmtId="0" fontId="19" fillId="0" borderId="26" xfId="0" applyFont="1" applyBorder="1" applyAlignment="1">
      <alignment horizontal="center"/>
    </xf>
    <xf numFmtId="2" fontId="19" fillId="0" borderId="0" xfId="0" applyNumberFormat="1" applyFont="1" applyAlignment="1">
      <alignment horizontal="center"/>
    </xf>
    <xf numFmtId="166" fontId="19" fillId="0" borderId="0" xfId="0" applyNumberFormat="1" applyFont="1" applyAlignment="1">
      <alignment horizontal="center"/>
    </xf>
    <xf numFmtId="2" fontId="19" fillId="0" borderId="26" xfId="0" applyNumberFormat="1" applyFont="1" applyBorder="1" applyAlignment="1">
      <alignment horizontal="center"/>
    </xf>
    <xf numFmtId="0" fontId="19" fillId="0" borderId="27" xfId="0" applyFont="1" applyBorder="1"/>
    <xf numFmtId="0" fontId="19" fillId="0" borderId="17" xfId="0" applyFont="1" applyBorder="1" applyAlignment="1">
      <alignment horizontal="center"/>
    </xf>
    <xf numFmtId="0" fontId="19" fillId="0" borderId="17" xfId="0" applyFont="1" applyBorder="1"/>
    <xf numFmtId="0" fontId="19" fillId="0" borderId="28" xfId="0" applyFont="1" applyBorder="1"/>
    <xf numFmtId="166" fontId="19" fillId="0" borderId="26" xfId="0" applyNumberFormat="1" applyFont="1" applyBorder="1" applyAlignment="1">
      <alignment horizontal="center"/>
    </xf>
    <xf numFmtId="166" fontId="19" fillId="0" borderId="28" xfId="0" applyNumberFormat="1" applyFont="1" applyBorder="1" applyAlignment="1">
      <alignment horizontal="center"/>
    </xf>
    <xf numFmtId="0" fontId="15" fillId="0" borderId="0" xfId="0" applyFont="1" applyAlignment="1">
      <alignment horizontal="center" vertical="center" wrapText="1"/>
    </xf>
    <xf numFmtId="0" fontId="16" fillId="0" borderId="26" xfId="0" applyFont="1" applyBorder="1" applyAlignment="1">
      <alignment horizontal="center" wrapText="1"/>
    </xf>
    <xf numFmtId="0" fontId="19" fillId="0" borderId="17" xfId="0" applyFont="1" applyBorder="1" applyAlignment="1">
      <alignment horizontal="left"/>
    </xf>
    <xf numFmtId="167" fontId="19" fillId="0" borderId="0" xfId="0" applyNumberFormat="1" applyFont="1" applyAlignment="1">
      <alignment horizontal="center"/>
    </xf>
    <xf numFmtId="1" fontId="19" fillId="0" borderId="0" xfId="0" applyNumberFormat="1" applyFont="1" applyAlignment="1">
      <alignment horizontal="center"/>
    </xf>
    <xf numFmtId="0" fontId="0" fillId="0" borderId="23" xfId="0" applyBorder="1" applyAlignment="1">
      <alignment horizontal="center"/>
    </xf>
    <xf numFmtId="0" fontId="0" fillId="0" borderId="24" xfId="0" applyBorder="1" applyAlignment="1">
      <alignment horizontal="center"/>
    </xf>
    <xf numFmtId="166" fontId="19" fillId="0" borderId="17" xfId="0" applyNumberFormat="1" applyFont="1" applyBorder="1" applyAlignment="1">
      <alignment horizontal="center"/>
    </xf>
    <xf numFmtId="166" fontId="0" fillId="0" borderId="17" xfId="0" applyNumberFormat="1" applyBorder="1" applyAlignment="1">
      <alignment horizontal="center"/>
    </xf>
    <xf numFmtId="0" fontId="16" fillId="0" borderId="25" xfId="0" applyFont="1" applyBorder="1" applyAlignment="1">
      <alignment horizontal="center" vertical="center" wrapText="1"/>
    </xf>
    <xf numFmtId="10" fontId="0" fillId="0" borderId="0" xfId="0" applyNumberFormat="1"/>
    <xf numFmtId="3" fontId="0" fillId="0" borderId="0" xfId="0" applyNumberFormat="1" applyAlignment="1">
      <alignment horizontal="left" vertical="center"/>
    </xf>
    <xf numFmtId="168" fontId="0" fillId="0" borderId="0" xfId="0" applyNumberFormat="1" applyAlignment="1">
      <alignment horizontal="center" vertical="center"/>
    </xf>
    <xf numFmtId="3" fontId="0" fillId="0" borderId="0" xfId="0" applyNumberFormat="1" applyAlignment="1">
      <alignment horizontal="center" vertical="center"/>
    </xf>
    <xf numFmtId="171" fontId="0" fillId="0" borderId="0" xfId="0" applyNumberFormat="1" applyAlignment="1">
      <alignment horizontal="center"/>
    </xf>
    <xf numFmtId="0" fontId="0" fillId="0" borderId="25" xfId="0" applyBorder="1" applyAlignment="1">
      <alignment horizontal="left" vertical="center"/>
    </xf>
    <xf numFmtId="0" fontId="3" fillId="0" borderId="0" xfId="1" applyBorder="1" applyAlignment="1">
      <alignment horizontal="left" vertical="center" indent="1"/>
    </xf>
    <xf numFmtId="0" fontId="19" fillId="18" borderId="22" xfId="0" applyFont="1" applyFill="1" applyBorder="1" applyAlignment="1">
      <alignment horizontal="center" vertical="center"/>
    </xf>
    <xf numFmtId="167" fontId="0" fillId="0" borderId="0" xfId="0" applyNumberFormat="1" applyAlignment="1">
      <alignment horizontal="center"/>
    </xf>
    <xf numFmtId="0" fontId="16" fillId="0" borderId="25" xfId="0" applyFont="1" applyBorder="1" applyAlignment="1">
      <alignment wrapText="1"/>
    </xf>
    <xf numFmtId="172" fontId="0" fillId="0" borderId="0" xfId="0" applyNumberFormat="1" applyAlignment="1">
      <alignment horizontal="center"/>
    </xf>
    <xf numFmtId="0" fontId="19" fillId="0" borderId="25" xfId="0" applyFont="1" applyBorder="1" applyAlignment="1">
      <alignment vertical="center"/>
    </xf>
    <xf numFmtId="0" fontId="14" fillId="0" borderId="25" xfId="0" applyFont="1" applyBorder="1" applyAlignment="1">
      <alignment horizontal="left" vertical="center"/>
    </xf>
    <xf numFmtId="0" fontId="14" fillId="0" borderId="26" xfId="0" applyFont="1" applyBorder="1" applyAlignment="1">
      <alignment horizontal="left" vertical="center"/>
    </xf>
    <xf numFmtId="0" fontId="0" fillId="0" borderId="22" xfId="0" applyBorder="1" applyAlignment="1">
      <alignment horizontal="left" vertical="center"/>
    </xf>
    <xf numFmtId="0" fontId="0" fillId="0" borderId="25" xfId="0" applyBorder="1" applyAlignment="1">
      <alignment horizontal="left"/>
    </xf>
    <xf numFmtId="0" fontId="0" fillId="0" borderId="27" xfId="0" applyBorder="1" applyAlignment="1">
      <alignment horizontal="left"/>
    </xf>
    <xf numFmtId="2" fontId="0" fillId="0" borderId="24" xfId="0" applyNumberFormat="1" applyBorder="1" applyAlignment="1">
      <alignment horizontal="center"/>
    </xf>
    <xf numFmtId="2" fontId="0" fillId="0" borderId="28" xfId="0" applyNumberFormat="1" applyBorder="1" applyAlignment="1">
      <alignment horizontal="center"/>
    </xf>
    <xf numFmtId="0" fontId="20" fillId="18" borderId="0" xfId="0" applyFont="1" applyFill="1" applyAlignment="1">
      <alignment horizontal="center" vertical="center" wrapText="1"/>
    </xf>
    <xf numFmtId="0" fontId="0" fillId="18" borderId="0" xfId="0" applyFill="1"/>
    <xf numFmtId="0" fontId="16" fillId="0" borderId="0" xfId="0" applyFont="1" applyAlignment="1">
      <alignment horizontal="center" vertical="center"/>
    </xf>
    <xf numFmtId="170" fontId="0" fillId="0" borderId="0" xfId="0" applyNumberFormat="1"/>
    <xf numFmtId="0" fontId="0" fillId="0" borderId="22" xfId="0" applyBorder="1" applyAlignment="1">
      <alignment horizontal="center"/>
    </xf>
    <xf numFmtId="167" fontId="0" fillId="0" borderId="26" xfId="0" applyNumberFormat="1" applyBorder="1" applyAlignment="1">
      <alignment horizontal="center"/>
    </xf>
    <xf numFmtId="0" fontId="0" fillId="0" borderId="27" xfId="0" applyBorder="1" applyAlignment="1">
      <alignment horizontal="center"/>
    </xf>
    <xf numFmtId="167" fontId="0" fillId="7" borderId="0" xfId="0" applyNumberFormat="1" applyFill="1" applyAlignment="1">
      <alignment horizontal="center"/>
    </xf>
    <xf numFmtId="0" fontId="15" fillId="7" borderId="0" xfId="0" applyFont="1" applyFill="1" applyAlignment="1">
      <alignment horizontal="center" wrapText="1"/>
    </xf>
    <xf numFmtId="0" fontId="19" fillId="15" borderId="0" xfId="0" applyFont="1" applyFill="1" applyAlignment="1">
      <alignment horizontal="center" vertical="center"/>
    </xf>
    <xf numFmtId="167" fontId="0" fillId="15" borderId="0" xfId="0" applyNumberFormat="1" applyFill="1" applyAlignment="1">
      <alignment horizontal="center"/>
    </xf>
    <xf numFmtId="0" fontId="16" fillId="12" borderId="0" xfId="0" applyFont="1" applyFill="1" applyAlignment="1">
      <alignment horizontal="center" vertical="center" wrapText="1"/>
    </xf>
    <xf numFmtId="167" fontId="0" fillId="12" borderId="0" xfId="0" applyNumberFormat="1" applyFill="1" applyAlignment="1">
      <alignment horizontal="center"/>
    </xf>
    <xf numFmtId="0" fontId="0" fillId="0" borderId="0" xfId="0" applyAlignment="1">
      <alignment wrapText="1"/>
    </xf>
    <xf numFmtId="0" fontId="14" fillId="0" borderId="1" xfId="0" applyFont="1" applyBorder="1" applyAlignment="1">
      <alignment horizontal="center" vertical="top"/>
    </xf>
    <xf numFmtId="0" fontId="14" fillId="0" borderId="1" xfId="0" applyFont="1" applyBorder="1" applyAlignment="1">
      <alignment horizontal="left" vertical="top"/>
    </xf>
    <xf numFmtId="0" fontId="0" fillId="0" borderId="22" xfId="0" applyBorder="1"/>
    <xf numFmtId="10" fontId="0" fillId="0" borderId="0" xfId="0" applyNumberFormat="1" applyAlignment="1">
      <alignment horizontal="left"/>
    </xf>
    <xf numFmtId="0" fontId="0" fillId="8" borderId="0" xfId="0" applyFill="1" applyAlignment="1">
      <alignment horizontal="center"/>
    </xf>
    <xf numFmtId="0" fontId="0" fillId="8" borderId="0" xfId="0" applyFill="1" applyAlignment="1">
      <alignment horizontal="left"/>
    </xf>
    <xf numFmtId="0" fontId="14" fillId="0" borderId="0" xfId="0" applyFont="1" applyAlignment="1">
      <alignment horizontal="left" vertical="center"/>
    </xf>
    <xf numFmtId="173" fontId="0" fillId="0" borderId="0" xfId="0" applyNumberFormat="1" applyAlignment="1">
      <alignment horizontal="center"/>
    </xf>
    <xf numFmtId="164" fontId="0" fillId="3" borderId="26" xfId="0" applyNumberFormat="1" applyFill="1" applyBorder="1" applyAlignment="1">
      <alignment horizontal="center"/>
    </xf>
    <xf numFmtId="0" fontId="21" fillId="19" borderId="29" xfId="0" applyFont="1" applyFill="1" applyBorder="1"/>
    <xf numFmtId="0" fontId="21" fillId="19" borderId="30" xfId="0" applyFont="1" applyFill="1" applyBorder="1" applyAlignment="1">
      <alignment horizontal="center"/>
    </xf>
    <xf numFmtId="0" fontId="21" fillId="19" borderId="31" xfId="0" applyFont="1" applyFill="1" applyBorder="1" applyAlignment="1">
      <alignment horizontal="center"/>
    </xf>
    <xf numFmtId="166" fontId="0" fillId="10" borderId="30" xfId="0" applyNumberFormat="1" applyFill="1" applyBorder="1" applyAlignment="1">
      <alignment horizontal="center"/>
    </xf>
    <xf numFmtId="166" fontId="0" fillId="10" borderId="31" xfId="0" applyNumberFormat="1" applyFill="1" applyBorder="1" applyAlignment="1">
      <alignment horizontal="center"/>
    </xf>
    <xf numFmtId="1" fontId="0" fillId="0" borderId="0" xfId="0" applyNumberFormat="1" applyAlignment="1">
      <alignment horizontal="center" wrapText="1"/>
    </xf>
    <xf numFmtId="167" fontId="0" fillId="0" borderId="0" xfId="0" applyNumberFormat="1" applyAlignment="1">
      <alignment horizontal="left" vertical="center"/>
    </xf>
    <xf numFmtId="172" fontId="0" fillId="0" borderId="0" xfId="0" applyNumberFormat="1" applyAlignment="1">
      <alignment horizontal="left"/>
    </xf>
    <xf numFmtId="1" fontId="0" fillId="0" borderId="0" xfId="0" applyNumberFormat="1" applyAlignment="1">
      <alignment horizontal="left"/>
    </xf>
    <xf numFmtId="1" fontId="0" fillId="0" borderId="0" xfId="0" applyNumberFormat="1" applyAlignment="1">
      <alignment horizontal="center" vertical="center"/>
    </xf>
    <xf numFmtId="0" fontId="19" fillId="18" borderId="0" xfId="0" applyFont="1" applyFill="1" applyAlignment="1">
      <alignment horizontal="center" vertical="center" wrapText="1"/>
    </xf>
    <xf numFmtId="1" fontId="0" fillId="21" borderId="0" xfId="0" applyNumberFormat="1" applyFill="1" applyAlignment="1">
      <alignment horizontal="center" vertical="center" wrapText="1"/>
    </xf>
    <xf numFmtId="1" fontId="0" fillId="0" borderId="0" xfId="0" applyNumberFormat="1"/>
    <xf numFmtId="0" fontId="16" fillId="0" borderId="0" xfId="0" applyFont="1" applyAlignment="1">
      <alignment horizontal="left"/>
    </xf>
    <xf numFmtId="0" fontId="19" fillId="0" borderId="0" xfId="0" applyFont="1" applyAlignment="1">
      <alignment horizontal="center" wrapText="1"/>
    </xf>
    <xf numFmtId="9" fontId="0" fillId="0" borderId="0" xfId="0" applyNumberFormat="1" applyAlignment="1">
      <alignment horizontal="center" vertical="center"/>
    </xf>
    <xf numFmtId="0" fontId="19" fillId="0" borderId="0" xfId="0" applyFont="1" applyAlignment="1">
      <alignment vertical="center" wrapText="1"/>
    </xf>
    <xf numFmtId="166" fontId="0" fillId="11" borderId="0" xfId="0" applyNumberFormat="1" applyFill="1" applyAlignment="1">
      <alignment horizontal="center"/>
    </xf>
    <xf numFmtId="167" fontId="0" fillId="0" borderId="0" xfId="0" applyNumberFormat="1" applyAlignment="1">
      <alignment horizontal="center" vertical="center" wrapText="1"/>
    </xf>
    <xf numFmtId="0" fontId="23" fillId="18" borderId="0" xfId="0" applyFont="1" applyFill="1" applyAlignment="1">
      <alignment horizontal="center" vertical="center" wrapText="1"/>
    </xf>
    <xf numFmtId="166" fontId="0" fillId="7" borderId="0" xfId="0" applyNumberFormat="1" applyFill="1" applyAlignment="1">
      <alignment horizontal="center"/>
    </xf>
    <xf numFmtId="1" fontId="22" fillId="0" borderId="0" xfId="0" applyNumberFormat="1" applyFont="1" applyAlignment="1">
      <alignment horizontal="center"/>
    </xf>
    <xf numFmtId="0" fontId="22" fillId="0" borderId="0" xfId="0" applyFont="1"/>
    <xf numFmtId="9" fontId="22" fillId="0" borderId="0" xfId="0" applyNumberFormat="1" applyFont="1" applyAlignment="1">
      <alignment horizontal="center" wrapText="1"/>
    </xf>
    <xf numFmtId="1" fontId="0" fillId="0" borderId="0" xfId="0" applyNumberFormat="1" applyAlignment="1">
      <alignment horizontal="center" vertical="center" wrapText="1"/>
    </xf>
    <xf numFmtId="0" fontId="0" fillId="20" borderId="0" xfId="0" applyFill="1" applyAlignment="1">
      <alignment wrapText="1"/>
    </xf>
    <xf numFmtId="0" fontId="14" fillId="13" borderId="0" xfId="0" applyFont="1" applyFill="1" applyAlignment="1">
      <alignment horizontal="left" vertical="center"/>
    </xf>
    <xf numFmtId="2" fontId="20" fillId="18" borderId="0" xfId="0" applyNumberFormat="1" applyFont="1" applyFill="1" applyAlignment="1">
      <alignment horizontal="center" vertical="center" wrapText="1"/>
    </xf>
    <xf numFmtId="0" fontId="19" fillId="18" borderId="0" xfId="0" applyFont="1" applyFill="1"/>
    <xf numFmtId="168" fontId="0" fillId="0" borderId="0" xfId="0" applyNumberFormat="1" applyAlignment="1">
      <alignment horizontal="center"/>
    </xf>
    <xf numFmtId="9" fontId="0" fillId="0" borderId="0" xfId="0" applyNumberFormat="1"/>
    <xf numFmtId="0" fontId="20" fillId="0" borderId="0" xfId="0" applyFont="1" applyAlignment="1">
      <alignment horizontal="center" vertical="center" wrapText="1"/>
    </xf>
    <xf numFmtId="2" fontId="20" fillId="0" borderId="0" xfId="0" applyNumberFormat="1" applyFont="1" applyAlignment="1">
      <alignment horizontal="center" vertical="center" wrapText="1"/>
    </xf>
    <xf numFmtId="0" fontId="20" fillId="0" borderId="0" xfId="0" applyFont="1" applyAlignment="1">
      <alignment vertical="center" wrapText="1"/>
    </xf>
    <xf numFmtId="0" fontId="0" fillId="18" borderId="0" xfId="0" applyFill="1" applyAlignment="1">
      <alignment horizontal="left"/>
    </xf>
    <xf numFmtId="2" fontId="0" fillId="13" borderId="0" xfId="0" applyNumberFormat="1" applyFill="1" applyAlignment="1">
      <alignment horizontal="left" vertical="top" wrapText="1"/>
    </xf>
    <xf numFmtId="0" fontId="0" fillId="13" borderId="0" xfId="0" applyFill="1" applyAlignment="1">
      <alignment horizontal="center" vertical="center"/>
    </xf>
    <xf numFmtId="2" fontId="0" fillId="13" borderId="0" xfId="0" applyNumberFormat="1" applyFill="1" applyAlignment="1">
      <alignment horizontal="center" vertical="center" wrapText="1"/>
    </xf>
    <xf numFmtId="0" fontId="3" fillId="13" borderId="0" xfId="1" applyFill="1" applyBorder="1" applyAlignment="1">
      <alignment horizontal="left"/>
    </xf>
    <xf numFmtId="2" fontId="0" fillId="13" borderId="0" xfId="0" applyNumberFormat="1" applyFill="1" applyAlignment="1">
      <alignment horizontal="left" vertical="center" wrapText="1"/>
    </xf>
    <xf numFmtId="0" fontId="3" fillId="13" borderId="0" xfId="1" applyFill="1" applyBorder="1" applyAlignment="1">
      <alignment horizontal="left" vertical="center" wrapText="1"/>
    </xf>
    <xf numFmtId="171" fontId="0" fillId="13" borderId="0" xfId="0" applyNumberFormat="1" applyFill="1" applyAlignment="1">
      <alignment horizontal="left"/>
    </xf>
    <xf numFmtId="0" fontId="0" fillId="13" borderId="0" xfId="0" applyFill="1" applyAlignment="1">
      <alignment horizontal="left"/>
    </xf>
    <xf numFmtId="171" fontId="0" fillId="13" borderId="0" xfId="0" applyNumberFormat="1" applyFill="1" applyAlignment="1">
      <alignment horizontal="center"/>
    </xf>
    <xf numFmtId="2" fontId="0" fillId="13" borderId="0" xfId="0" applyNumberFormat="1" applyFill="1" applyAlignment="1">
      <alignment horizontal="center"/>
    </xf>
    <xf numFmtId="171" fontId="0" fillId="13" borderId="0" xfId="0" applyNumberFormat="1" applyFill="1" applyAlignment="1">
      <alignment horizontal="left" vertical="center"/>
    </xf>
    <xf numFmtId="171" fontId="0" fillId="13" borderId="0" xfId="0" applyNumberFormat="1" applyFill="1" applyAlignment="1">
      <alignment horizontal="center" vertical="center"/>
    </xf>
    <xf numFmtId="0" fontId="3" fillId="13" borderId="0" xfId="1" applyFill="1" applyBorder="1" applyAlignment="1">
      <alignment vertical="center" wrapText="1"/>
    </xf>
    <xf numFmtId="2" fontId="0" fillId="13" borderId="0" xfId="0" applyNumberFormat="1" applyFill="1" applyAlignment="1">
      <alignment horizontal="center" vertical="center"/>
    </xf>
    <xf numFmtId="0" fontId="3" fillId="13" borderId="0" xfId="1" applyFill="1" applyBorder="1"/>
    <xf numFmtId="166" fontId="0" fillId="13" borderId="0" xfId="0" applyNumberFormat="1" applyFill="1" applyAlignment="1">
      <alignment horizontal="center" vertical="center"/>
    </xf>
    <xf numFmtId="168" fontId="0" fillId="13" borderId="0" xfId="0" applyNumberFormat="1" applyFill="1" applyAlignment="1">
      <alignment horizontal="center" vertical="center"/>
    </xf>
    <xf numFmtId="166" fontId="0" fillId="13" borderId="0" xfId="0" applyNumberFormat="1" applyFill="1" applyAlignment="1">
      <alignment horizontal="center"/>
    </xf>
    <xf numFmtId="169" fontId="0" fillId="13" borderId="0" xfId="0" applyNumberFormat="1" applyFill="1"/>
    <xf numFmtId="166" fontId="0" fillId="13" borderId="0" xfId="0" applyNumberFormat="1" applyFill="1" applyAlignment="1">
      <alignment horizontal="left" vertical="center"/>
    </xf>
    <xf numFmtId="1" fontId="0" fillId="13" borderId="0" xfId="0" applyNumberFormat="1" applyFill="1" applyAlignment="1">
      <alignment horizontal="center" vertical="center"/>
    </xf>
    <xf numFmtId="9" fontId="0" fillId="13" borderId="0" xfId="0" applyNumberFormat="1" applyFill="1" applyAlignment="1">
      <alignment horizontal="left" vertical="center"/>
    </xf>
    <xf numFmtId="9" fontId="0" fillId="13" borderId="0" xfId="0" applyNumberFormat="1" applyFill="1" applyAlignment="1">
      <alignment horizontal="center" vertical="center"/>
    </xf>
    <xf numFmtId="0" fontId="3" fillId="13" borderId="0" xfId="1" applyFill="1" applyBorder="1" applyAlignment="1">
      <alignment horizontal="left" vertical="center" indent="1"/>
    </xf>
    <xf numFmtId="168" fontId="0" fillId="13" borderId="0" xfId="0" applyNumberFormat="1" applyFill="1" applyAlignment="1">
      <alignment horizontal="left" vertical="center"/>
    </xf>
    <xf numFmtId="167" fontId="0" fillId="13" borderId="0" xfId="0" applyNumberFormat="1" applyFill="1" applyAlignment="1">
      <alignment horizontal="center" vertical="center"/>
    </xf>
    <xf numFmtId="2" fontId="0" fillId="13" borderId="0" xfId="0" applyNumberFormat="1" applyFill="1" applyAlignment="1">
      <alignment horizontal="left" vertical="center"/>
    </xf>
    <xf numFmtId="0" fontId="3" fillId="13" borderId="0" xfId="1" applyFill="1" applyBorder="1" applyAlignment="1">
      <alignment horizontal="left" vertical="center" wrapText="1" indent="1"/>
    </xf>
    <xf numFmtId="0" fontId="0" fillId="13" borderId="0" xfId="0" applyFill="1" applyAlignment="1">
      <alignment horizontal="left" vertical="center"/>
    </xf>
    <xf numFmtId="167" fontId="0" fillId="13" borderId="0" xfId="0" applyNumberFormat="1" applyFill="1" applyAlignment="1">
      <alignment horizontal="left" vertical="center"/>
    </xf>
    <xf numFmtId="169" fontId="0" fillId="13" borderId="0" xfId="0" applyNumberFormat="1" applyFill="1" applyAlignment="1">
      <alignment horizontal="center" vertical="center"/>
    </xf>
    <xf numFmtId="170" fontId="0" fillId="13" borderId="0" xfId="0" applyNumberFormat="1" applyFill="1" applyAlignment="1">
      <alignment horizontal="center" vertical="center"/>
    </xf>
    <xf numFmtId="172" fontId="0" fillId="13" borderId="0" xfId="0" applyNumberFormat="1" applyFill="1" applyAlignment="1">
      <alignment horizontal="left"/>
    </xf>
    <xf numFmtId="172" fontId="0" fillId="13" borderId="0" xfId="0" applyNumberFormat="1" applyFill="1" applyAlignment="1">
      <alignment horizontal="center"/>
    </xf>
    <xf numFmtId="3" fontId="0" fillId="13" borderId="0" xfId="0" applyNumberFormat="1" applyFill="1" applyAlignment="1">
      <alignment horizontal="left"/>
    </xf>
    <xf numFmtId="3" fontId="0" fillId="13" borderId="0" xfId="0" applyNumberFormat="1" applyFill="1" applyAlignment="1">
      <alignment horizontal="center"/>
    </xf>
    <xf numFmtId="174" fontId="0" fillId="13" borderId="0" xfId="0" applyNumberFormat="1" applyFill="1" applyAlignment="1">
      <alignment horizontal="left"/>
    </xf>
    <xf numFmtId="174" fontId="0" fillId="13" borderId="0" xfId="0" applyNumberFormat="1" applyFill="1" applyAlignment="1">
      <alignment horizontal="center"/>
    </xf>
    <xf numFmtId="9" fontId="0" fillId="13" borderId="0" xfId="0" applyNumberFormat="1" applyFill="1" applyAlignment="1">
      <alignment horizontal="left"/>
    </xf>
    <xf numFmtId="9" fontId="0" fillId="13" borderId="0" xfId="0" applyNumberFormat="1" applyFill="1" applyAlignment="1">
      <alignment horizontal="center"/>
    </xf>
    <xf numFmtId="10" fontId="0" fillId="13" borderId="0" xfId="0" applyNumberFormat="1" applyFill="1" applyAlignment="1">
      <alignment horizontal="left"/>
    </xf>
    <xf numFmtId="10" fontId="0" fillId="13" borderId="0" xfId="0" applyNumberFormat="1" applyFill="1" applyAlignment="1">
      <alignment horizontal="center"/>
    </xf>
    <xf numFmtId="0" fontId="19" fillId="13" borderId="0" xfId="0" applyFont="1" applyFill="1" applyAlignment="1">
      <alignment horizontal="left"/>
    </xf>
    <xf numFmtId="0" fontId="19" fillId="13" borderId="0" xfId="0" applyFont="1" applyFill="1" applyAlignment="1">
      <alignment horizontal="center"/>
    </xf>
    <xf numFmtId="0" fontId="19" fillId="13" borderId="17" xfId="0" applyFont="1" applyFill="1" applyBorder="1" applyAlignment="1">
      <alignment horizontal="left"/>
    </xf>
    <xf numFmtId="0" fontId="19" fillId="13" borderId="17" xfId="0" applyFont="1" applyFill="1" applyBorder="1" applyAlignment="1">
      <alignment horizontal="center"/>
    </xf>
    <xf numFmtId="167" fontId="0" fillId="13" borderId="0" xfId="0" applyNumberFormat="1" applyFill="1" applyAlignment="1">
      <alignment horizontal="center"/>
    </xf>
    <xf numFmtId="0" fontId="20" fillId="0" borderId="0" xfId="0" applyFont="1" applyAlignment="1">
      <alignment horizontal="left" vertical="center" wrapText="1"/>
    </xf>
    <xf numFmtId="166" fontId="0" fillId="13" borderId="0" xfId="0" applyNumberFormat="1" applyFill="1" applyAlignment="1">
      <alignment horizontal="left"/>
    </xf>
    <xf numFmtId="2" fontId="0" fillId="0" borderId="0" xfId="0" applyNumberFormat="1" applyAlignment="1">
      <alignment horizontal="left"/>
    </xf>
    <xf numFmtId="164" fontId="0" fillId="0" borderId="27" xfId="0" applyNumberFormat="1" applyBorder="1" applyAlignment="1">
      <alignment horizontal="center"/>
    </xf>
    <xf numFmtId="164" fontId="0" fillId="0" borderId="33" xfId="0" applyNumberFormat="1" applyBorder="1" applyAlignment="1">
      <alignment horizontal="center"/>
    </xf>
    <xf numFmtId="164" fontId="0" fillId="0" borderId="34" xfId="0" applyNumberFormat="1" applyBorder="1" applyAlignment="1">
      <alignment horizontal="center"/>
    </xf>
    <xf numFmtId="0" fontId="14" fillId="3" borderId="32" xfId="0" applyFont="1" applyFill="1" applyBorder="1" applyAlignment="1">
      <alignment horizontal="left" vertical="center" wrapText="1"/>
    </xf>
    <xf numFmtId="0" fontId="0" fillId="0" borderId="33" xfId="0" applyBorder="1" applyAlignment="1">
      <alignment horizontal="center" vertical="center" wrapText="1"/>
    </xf>
    <xf numFmtId="165" fontId="0" fillId="0" borderId="17" xfId="0" applyNumberFormat="1" applyBorder="1"/>
    <xf numFmtId="165" fontId="0" fillId="0" borderId="28" xfId="0" applyNumberFormat="1" applyBorder="1"/>
    <xf numFmtId="175" fontId="0" fillId="0" borderId="0" xfId="0" applyNumberFormat="1" applyAlignment="1">
      <alignment horizontal="center"/>
    </xf>
    <xf numFmtId="0" fontId="0" fillId="18" borderId="0" xfId="0" applyFill="1" applyAlignment="1">
      <alignment horizontal="left" vertical="center" wrapText="1"/>
    </xf>
    <xf numFmtId="0" fontId="0" fillId="0" borderId="0" xfId="0" applyAlignment="1">
      <alignment horizontal="left" vertical="center" wrapText="1"/>
    </xf>
    <xf numFmtId="0" fontId="14" fillId="13" borderId="0" xfId="0" applyFont="1" applyFill="1" applyAlignment="1">
      <alignment horizontal="left"/>
    </xf>
    <xf numFmtId="0" fontId="0" fillId="10" borderId="0" xfId="0" applyFill="1" applyAlignment="1">
      <alignment horizontal="left" vertical="top" wrapText="1"/>
    </xf>
    <xf numFmtId="0" fontId="0" fillId="0" borderId="0" xfId="0" applyAlignment="1">
      <alignment horizontal="left" vertical="top" wrapText="1"/>
    </xf>
    <xf numFmtId="0" fontId="14" fillId="13" borderId="0" xfId="0" applyFont="1" applyFill="1" applyAlignment="1">
      <alignment horizontal="left" vertical="top" wrapText="1"/>
    </xf>
    <xf numFmtId="0" fontId="0" fillId="0" borderId="0" xfId="0" applyAlignment="1">
      <alignment horizontal="left" wrapText="1"/>
    </xf>
    <xf numFmtId="172" fontId="0" fillId="22" borderId="0" xfId="0" applyNumberFormat="1" applyFill="1" applyAlignment="1">
      <alignment horizontal="left"/>
    </xf>
    <xf numFmtId="0" fontId="0" fillId="22" borderId="0" xfId="0" applyFill="1" applyAlignment="1">
      <alignment horizontal="left"/>
    </xf>
    <xf numFmtId="0" fontId="0" fillId="22" borderId="0" xfId="0" applyFill="1" applyAlignment="1">
      <alignment horizontal="center"/>
    </xf>
    <xf numFmtId="172" fontId="0" fillId="22" borderId="0" xfId="0" applyNumberFormat="1" applyFill="1" applyAlignment="1">
      <alignment horizontal="center"/>
    </xf>
    <xf numFmtId="0" fontId="0" fillId="22" borderId="0" xfId="0" applyFill="1"/>
    <xf numFmtId="10" fontId="0" fillId="22" borderId="0" xfId="0" applyNumberFormat="1" applyFill="1" applyAlignment="1">
      <alignment horizontal="left"/>
    </xf>
    <xf numFmtId="10" fontId="0" fillId="22" borderId="0" xfId="0" applyNumberFormat="1" applyFill="1" applyAlignment="1">
      <alignment horizontal="center" vertical="center"/>
    </xf>
    <xf numFmtId="171" fontId="0" fillId="22" borderId="0" xfId="0" applyNumberFormat="1" applyFill="1" applyAlignment="1">
      <alignment horizontal="left" vertical="center"/>
    </xf>
    <xf numFmtId="171" fontId="0" fillId="22" borderId="0" xfId="0" applyNumberFormat="1" applyFill="1" applyAlignment="1">
      <alignment horizontal="center" vertical="center"/>
    </xf>
    <xf numFmtId="10" fontId="0" fillId="22" borderId="0" xfId="0" applyNumberFormat="1" applyFill="1" applyAlignment="1">
      <alignment horizontal="center"/>
    </xf>
    <xf numFmtId="171" fontId="0" fillId="0" borderId="0" xfId="0" applyNumberFormat="1" applyAlignment="1">
      <alignment horizontal="left" vertical="center"/>
    </xf>
    <xf numFmtId="166" fontId="0" fillId="22" borderId="0" xfId="0" applyNumberFormat="1" applyFill="1" applyAlignment="1">
      <alignment horizontal="center"/>
    </xf>
    <xf numFmtId="0" fontId="16" fillId="0" borderId="0" xfId="0" applyFont="1"/>
    <xf numFmtId="0" fontId="16" fillId="24" borderId="0" xfId="0" applyFont="1" applyFill="1"/>
    <xf numFmtId="0" fontId="20" fillId="24" borderId="0" xfId="0" applyFont="1" applyFill="1" applyAlignment="1">
      <alignment horizontal="center"/>
    </xf>
    <xf numFmtId="0" fontId="20" fillId="24" borderId="0" xfId="0" applyFont="1" applyFill="1"/>
    <xf numFmtId="0" fontId="20" fillId="17" borderId="0" xfId="0" applyFont="1" applyFill="1" applyAlignment="1">
      <alignment horizontal="center" vertical="center" wrapText="1"/>
    </xf>
    <xf numFmtId="166" fontId="16" fillId="0" borderId="0" xfId="0" applyNumberFormat="1" applyFont="1" applyAlignment="1">
      <alignment horizontal="center"/>
    </xf>
    <xf numFmtId="10" fontId="16" fillId="0" borderId="0" xfId="0" applyNumberFormat="1" applyFont="1" applyAlignment="1">
      <alignment horizontal="center"/>
    </xf>
    <xf numFmtId="176" fontId="16" fillId="0" borderId="0" xfId="0" applyNumberFormat="1" applyFont="1" applyAlignment="1">
      <alignment horizontal="center"/>
    </xf>
    <xf numFmtId="0" fontId="16" fillId="24" borderId="0" xfId="0" applyFont="1" applyFill="1" applyAlignment="1">
      <alignment horizontal="center"/>
    </xf>
    <xf numFmtId="0" fontId="16" fillId="0" borderId="0" xfId="0" applyFont="1" applyAlignment="1">
      <alignment horizontal="center"/>
    </xf>
    <xf numFmtId="171" fontId="16" fillId="0" borderId="0" xfId="0" applyNumberFormat="1" applyFont="1" applyAlignment="1">
      <alignment horizontal="center"/>
    </xf>
    <xf numFmtId="2" fontId="16" fillId="0" borderId="0" xfId="0" applyNumberFormat="1" applyFont="1" applyAlignment="1">
      <alignment horizontal="center"/>
    </xf>
    <xf numFmtId="166" fontId="16" fillId="0" borderId="0" xfId="0" applyNumberFormat="1" applyFont="1"/>
    <xf numFmtId="2" fontId="16" fillId="0" borderId="0" xfId="0" applyNumberFormat="1" applyFont="1"/>
    <xf numFmtId="0" fontId="16" fillId="14" borderId="0" xfId="0" applyFont="1" applyFill="1"/>
    <xf numFmtId="0" fontId="16" fillId="14" borderId="0" xfId="0" applyFont="1" applyFill="1" applyAlignment="1">
      <alignment horizontal="center"/>
    </xf>
    <xf numFmtId="0" fontId="20" fillId="14" borderId="0" xfId="0" applyFont="1" applyFill="1" applyAlignment="1">
      <alignment horizontal="center"/>
    </xf>
    <xf numFmtId="1" fontId="16" fillId="14" borderId="0" xfId="0" applyNumberFormat="1" applyFont="1" applyFill="1" applyAlignment="1">
      <alignment horizontal="center"/>
    </xf>
    <xf numFmtId="166" fontId="16" fillId="14" borderId="0" xfId="0" applyNumberFormat="1" applyFont="1" applyFill="1" applyAlignment="1">
      <alignment horizontal="center"/>
    </xf>
    <xf numFmtId="172" fontId="16" fillId="20" borderId="0" xfId="0" applyNumberFormat="1" applyFont="1" applyFill="1" applyAlignment="1">
      <alignment horizontal="center"/>
    </xf>
    <xf numFmtId="0" fontId="16" fillId="0" borderId="0" xfId="0" applyFont="1" applyAlignment="1">
      <alignment horizontal="left" vertical="center" wrapText="1"/>
    </xf>
    <xf numFmtId="0" fontId="17" fillId="0" borderId="0" xfId="0" applyFont="1" applyAlignment="1">
      <alignment horizontal="center" vertical="center" wrapText="1"/>
    </xf>
    <xf numFmtId="172" fontId="16" fillId="0" borderId="0" xfId="0" applyNumberFormat="1" applyFont="1" applyAlignment="1">
      <alignment horizontal="center"/>
    </xf>
    <xf numFmtId="0" fontId="20" fillId="0" borderId="0" xfId="0" applyFont="1" applyAlignment="1">
      <alignment horizontal="left"/>
    </xf>
    <xf numFmtId="0" fontId="20" fillId="0" borderId="0" xfId="0" applyFont="1"/>
    <xf numFmtId="0" fontId="20" fillId="0" borderId="0" xfId="0" applyFont="1" applyAlignment="1">
      <alignment horizontal="center"/>
    </xf>
    <xf numFmtId="2" fontId="16" fillId="24" borderId="0" xfId="0" applyNumberFormat="1" applyFont="1" applyFill="1" applyAlignment="1">
      <alignment horizontal="center"/>
    </xf>
    <xf numFmtId="172" fontId="16" fillId="24" borderId="0" xfId="0" applyNumberFormat="1" applyFont="1" applyFill="1" applyAlignment="1">
      <alignment horizontal="center"/>
    </xf>
    <xf numFmtId="2" fontId="16" fillId="20" borderId="0" xfId="0" applyNumberFormat="1" applyFont="1" applyFill="1"/>
    <xf numFmtId="167" fontId="0" fillId="21" borderId="0" xfId="0" applyNumberFormat="1" applyFill="1" applyAlignment="1">
      <alignment horizontal="center" vertical="center" wrapText="1"/>
    </xf>
    <xf numFmtId="167" fontId="16" fillId="0" borderId="0" xfId="0" applyNumberFormat="1" applyFont="1" applyAlignment="1">
      <alignment horizontal="center"/>
    </xf>
    <xf numFmtId="166" fontId="16" fillId="18" borderId="0" xfId="0" applyNumberFormat="1" applyFont="1" applyFill="1" applyAlignment="1">
      <alignment horizontal="center"/>
    </xf>
    <xf numFmtId="169" fontId="0" fillId="0" borderId="0" xfId="0" applyNumberFormat="1" applyAlignment="1">
      <alignment horizontal="center"/>
    </xf>
    <xf numFmtId="175" fontId="0" fillId="0" borderId="0" xfId="0" applyNumberFormat="1"/>
    <xf numFmtId="0" fontId="16" fillId="24" borderId="1" xfId="0" applyFont="1" applyFill="1" applyBorder="1"/>
    <xf numFmtId="0" fontId="16" fillId="24" borderId="1" xfId="0" applyFont="1" applyFill="1" applyBorder="1" applyAlignment="1">
      <alignment horizontal="center"/>
    </xf>
    <xf numFmtId="0" fontId="16" fillId="0" borderId="5" xfId="0" applyFont="1" applyBorder="1"/>
    <xf numFmtId="9" fontId="16" fillId="0" borderId="0" xfId="0" applyNumberFormat="1" applyFont="1" applyAlignment="1">
      <alignment horizontal="center"/>
    </xf>
    <xf numFmtId="9" fontId="16" fillId="18" borderId="26" xfId="0" applyNumberFormat="1" applyFont="1" applyFill="1" applyBorder="1" applyAlignment="1">
      <alignment horizontal="center"/>
    </xf>
    <xf numFmtId="0" fontId="16" fillId="0" borderId="7" xfId="0" applyFont="1" applyBorder="1"/>
    <xf numFmtId="9" fontId="16" fillId="0" borderId="8" xfId="0" applyNumberFormat="1" applyFont="1" applyBorder="1" applyAlignment="1">
      <alignment horizontal="center"/>
    </xf>
    <xf numFmtId="0" fontId="16" fillId="0" borderId="8" xfId="0" applyFont="1" applyBorder="1"/>
    <xf numFmtId="9" fontId="16" fillId="0" borderId="9" xfId="0" applyNumberFormat="1" applyFont="1" applyBorder="1" applyAlignment="1">
      <alignment horizontal="center"/>
    </xf>
    <xf numFmtId="0" fontId="16" fillId="0" borderId="25" xfId="0" applyFont="1" applyBorder="1"/>
    <xf numFmtId="0" fontId="16" fillId="0" borderId="27" xfId="0" applyFont="1" applyBorder="1"/>
    <xf numFmtId="10" fontId="16" fillId="0" borderId="17" xfId="0" applyNumberFormat="1" applyFont="1" applyBorder="1" applyAlignment="1">
      <alignment horizontal="center"/>
    </xf>
    <xf numFmtId="0" fontId="16" fillId="0" borderId="17" xfId="0" applyFont="1" applyBorder="1"/>
    <xf numFmtId="0" fontId="16" fillId="0" borderId="28" xfId="0" applyFont="1" applyBorder="1"/>
    <xf numFmtId="0" fontId="16" fillId="3" borderId="25" xfId="0" applyFont="1" applyFill="1" applyBorder="1" applyAlignment="1">
      <alignment horizontal="left"/>
    </xf>
    <xf numFmtId="0" fontId="16" fillId="3" borderId="0" xfId="0" applyFont="1" applyFill="1" applyAlignment="1">
      <alignment horizontal="center"/>
    </xf>
    <xf numFmtId="0" fontId="16" fillId="3" borderId="26" xfId="0" applyFont="1" applyFill="1" applyBorder="1" applyAlignment="1">
      <alignment horizontal="center"/>
    </xf>
    <xf numFmtId="10" fontId="16" fillId="0" borderId="25" xfId="0" applyNumberFormat="1" applyFont="1" applyBorder="1" applyAlignment="1">
      <alignment horizontal="center"/>
    </xf>
    <xf numFmtId="9" fontId="16" fillId="18" borderId="0" xfId="0" applyNumberFormat="1" applyFont="1" applyFill="1" applyAlignment="1">
      <alignment horizontal="center"/>
    </xf>
    <xf numFmtId="9" fontId="16" fillId="0" borderId="26" xfId="0" applyNumberFormat="1" applyFont="1" applyBorder="1" applyAlignment="1">
      <alignment horizontal="center"/>
    </xf>
    <xf numFmtId="10" fontId="16" fillId="0" borderId="26" xfId="0" applyNumberFormat="1" applyFont="1" applyBorder="1" applyAlignment="1">
      <alignment horizontal="center"/>
    </xf>
    <xf numFmtId="0" fontId="16" fillId="0" borderId="17" xfId="0" applyFont="1" applyBorder="1" applyAlignment="1">
      <alignment horizontal="center"/>
    </xf>
    <xf numFmtId="9" fontId="16" fillId="0" borderId="17" xfId="0" applyNumberFormat="1" applyFont="1" applyBorder="1" applyAlignment="1">
      <alignment horizontal="center"/>
    </xf>
    <xf numFmtId="10" fontId="16" fillId="0" borderId="28" xfId="0" applyNumberFormat="1" applyFont="1" applyBorder="1" applyAlignment="1">
      <alignment horizontal="center"/>
    </xf>
    <xf numFmtId="0" fontId="16" fillId="18" borderId="26" xfId="0" applyFont="1" applyFill="1" applyBorder="1" applyAlignment="1">
      <alignment horizontal="center"/>
    </xf>
    <xf numFmtId="0" fontId="16" fillId="0" borderId="26" xfId="0" applyFont="1" applyBorder="1"/>
    <xf numFmtId="166" fontId="16" fillId="18" borderId="26" xfId="0" applyNumberFormat="1" applyFont="1" applyFill="1" applyBorder="1" applyAlignment="1">
      <alignment horizontal="center"/>
    </xf>
    <xf numFmtId="166" fontId="16" fillId="0" borderId="17" xfId="0" applyNumberFormat="1" applyFont="1" applyBorder="1" applyAlignment="1">
      <alignment horizontal="center"/>
    </xf>
    <xf numFmtId="0" fontId="16" fillId="0" borderId="25" xfId="0" applyFont="1" applyBorder="1" applyAlignment="1">
      <alignment horizontal="center"/>
    </xf>
    <xf numFmtId="0" fontId="16" fillId="18" borderId="0" xfId="0" applyFont="1" applyFill="1" applyAlignment="1">
      <alignment horizontal="center"/>
    </xf>
    <xf numFmtId="0" fontId="16" fillId="0" borderId="26" xfId="0" applyFont="1" applyBorder="1" applyAlignment="1">
      <alignment horizontal="center"/>
    </xf>
    <xf numFmtId="0" fontId="16" fillId="0" borderId="27" xfId="0" applyFont="1" applyBorder="1" applyAlignment="1">
      <alignment horizontal="center"/>
    </xf>
    <xf numFmtId="0" fontId="16" fillId="0" borderId="28" xfId="0" applyFont="1" applyBorder="1" applyAlignment="1">
      <alignment horizontal="center"/>
    </xf>
    <xf numFmtId="172" fontId="16" fillId="18" borderId="26" xfId="0" applyNumberFormat="1" applyFont="1" applyFill="1" applyBorder="1" applyAlignment="1">
      <alignment horizontal="center"/>
    </xf>
    <xf numFmtId="172" fontId="16" fillId="0" borderId="17" xfId="0" applyNumberFormat="1" applyFont="1" applyBorder="1" applyAlignment="1">
      <alignment horizontal="center"/>
    </xf>
    <xf numFmtId="172" fontId="16" fillId="0" borderId="28" xfId="0" applyNumberFormat="1" applyFont="1" applyBorder="1" applyAlignment="1">
      <alignment horizontal="center"/>
    </xf>
    <xf numFmtId="10" fontId="16" fillId="18" borderId="2" xfId="0" applyNumberFormat="1" applyFont="1" applyFill="1" applyBorder="1" applyAlignment="1">
      <alignment horizontal="center" vertical="center" wrapText="1"/>
    </xf>
    <xf numFmtId="166" fontId="16" fillId="14" borderId="0" xfId="0" applyNumberFormat="1" applyFont="1" applyFill="1"/>
    <xf numFmtId="0" fontId="16" fillId="25" borderId="0" xfId="0" applyFont="1" applyFill="1"/>
    <xf numFmtId="2" fontId="16" fillId="25" borderId="0" xfId="0" applyNumberFormat="1" applyFont="1" applyFill="1"/>
    <xf numFmtId="0" fontId="15" fillId="24" borderId="0" xfId="0" applyFont="1" applyFill="1" applyAlignment="1">
      <alignment vertical="center" wrapText="1"/>
    </xf>
    <xf numFmtId="0" fontId="24" fillId="24" borderId="0" xfId="0" applyFont="1" applyFill="1" applyAlignment="1">
      <alignment horizontal="center" vertical="center" wrapText="1"/>
    </xf>
    <xf numFmtId="0" fontId="24" fillId="24" borderId="1" xfId="0" applyFont="1" applyFill="1" applyBorder="1" applyAlignment="1">
      <alignment horizontal="center" vertical="center" wrapText="1"/>
    </xf>
    <xf numFmtId="0" fontId="24" fillId="14" borderId="0" xfId="0" applyFont="1" applyFill="1" applyAlignment="1">
      <alignment horizontal="center" vertical="center" wrapText="1"/>
    </xf>
    <xf numFmtId="0" fontId="15" fillId="14" borderId="0" xfId="0" applyFont="1" applyFill="1" applyAlignment="1">
      <alignment vertical="center" wrapText="1"/>
    </xf>
    <xf numFmtId="0" fontId="15" fillId="25" borderId="0" xfId="0" applyFont="1" applyFill="1" applyAlignment="1">
      <alignment vertical="center" wrapText="1"/>
    </xf>
    <xf numFmtId="1" fontId="16" fillId="0" borderId="0" xfId="0" applyNumberFormat="1" applyFont="1" applyAlignment="1">
      <alignment horizontal="center"/>
    </xf>
    <xf numFmtId="1" fontId="16" fillId="24" borderId="0" xfId="0" applyNumberFormat="1" applyFont="1" applyFill="1" applyAlignment="1">
      <alignment horizontal="center"/>
    </xf>
    <xf numFmtId="166" fontId="16" fillId="24" borderId="0" xfId="0" applyNumberFormat="1" applyFont="1" applyFill="1" applyAlignment="1">
      <alignment horizontal="center"/>
    </xf>
    <xf numFmtId="0" fontId="16" fillId="23" borderId="0" xfId="0" applyFont="1" applyFill="1"/>
    <xf numFmtId="0" fontId="16" fillId="23" borderId="0" xfId="0" applyFont="1" applyFill="1" applyAlignment="1">
      <alignment horizontal="center" vertical="center"/>
    </xf>
    <xf numFmtId="10" fontId="16" fillId="23" borderId="0" xfId="0" applyNumberFormat="1" applyFont="1" applyFill="1" applyAlignment="1">
      <alignment horizontal="center"/>
    </xf>
    <xf numFmtId="166" fontId="16" fillId="23" borderId="0" xfId="0" applyNumberFormat="1" applyFont="1" applyFill="1" applyAlignment="1">
      <alignment horizontal="center"/>
    </xf>
    <xf numFmtId="171" fontId="16" fillId="23" borderId="0" xfId="0" applyNumberFormat="1" applyFont="1" applyFill="1" applyAlignment="1">
      <alignment horizontal="center"/>
    </xf>
    <xf numFmtId="1" fontId="16" fillId="23" borderId="0" xfId="0" applyNumberFormat="1" applyFont="1" applyFill="1" applyAlignment="1">
      <alignment horizontal="center"/>
    </xf>
    <xf numFmtId="0" fontId="16" fillId="26" borderId="0" xfId="0" applyFont="1" applyFill="1" applyAlignment="1">
      <alignment horizontal="center"/>
    </xf>
    <xf numFmtId="0" fontId="5" fillId="24" borderId="0" xfId="0" applyFont="1" applyFill="1"/>
    <xf numFmtId="0" fontId="9" fillId="14" borderId="0" xfId="0" applyFont="1" applyFill="1" applyAlignment="1">
      <alignment horizontal="center"/>
    </xf>
    <xf numFmtId="0" fontId="9" fillId="24" borderId="0" xfId="0" applyFont="1" applyFill="1" applyAlignment="1">
      <alignment horizontal="center"/>
    </xf>
    <xf numFmtId="0" fontId="5" fillId="14" borderId="0" xfId="0" applyFont="1" applyFill="1"/>
    <xf numFmtId="0" fontId="9" fillId="24" borderId="0" xfId="0" applyFont="1" applyFill="1"/>
    <xf numFmtId="0" fontId="5" fillId="24" borderId="0" xfId="0" applyFont="1" applyFill="1" applyAlignment="1">
      <alignment horizontal="center"/>
    </xf>
    <xf numFmtId="0" fontId="5" fillId="25" borderId="0" xfId="0" applyFont="1" applyFill="1"/>
    <xf numFmtId="0" fontId="16" fillId="0" borderId="0" xfId="0" applyFont="1" applyAlignment="1">
      <alignment vertical="top"/>
    </xf>
    <xf numFmtId="0" fontId="16" fillId="0" borderId="0" xfId="0" applyFont="1" applyAlignment="1">
      <alignment horizontal="center" vertical="top"/>
    </xf>
    <xf numFmtId="0" fontId="0" fillId="0" borderId="0" xfId="0" applyAlignment="1">
      <alignment vertical="top"/>
    </xf>
    <xf numFmtId="0" fontId="16" fillId="18" borderId="0" xfId="0" applyFont="1" applyFill="1" applyAlignment="1">
      <alignment horizontal="center" vertical="top" wrapText="1"/>
    </xf>
    <xf numFmtId="0" fontId="16" fillId="0" borderId="25" xfId="0" applyFont="1" applyBorder="1" applyAlignment="1">
      <alignment horizontal="center" wrapText="1"/>
    </xf>
    <xf numFmtId="172" fontId="0" fillId="27" borderId="0" xfId="0" applyNumberFormat="1" applyFill="1" applyAlignment="1">
      <alignment horizontal="center"/>
    </xf>
    <xf numFmtId="172" fontId="0" fillId="0" borderId="17" xfId="0" applyNumberFormat="1" applyBorder="1" applyAlignment="1">
      <alignment horizontal="center"/>
    </xf>
    <xf numFmtId="164" fontId="16" fillId="0" borderId="0" xfId="0" applyNumberFormat="1" applyFont="1"/>
    <xf numFmtId="164" fontId="16" fillId="0" borderId="17" xfId="0" applyNumberFormat="1" applyFont="1" applyBorder="1"/>
    <xf numFmtId="0" fontId="20" fillId="0" borderId="0" xfId="0" applyFont="1" applyAlignment="1">
      <alignment horizontal="center" vertical="top" wrapText="1"/>
    </xf>
    <xf numFmtId="171" fontId="16" fillId="0" borderId="0" xfId="0" applyNumberFormat="1" applyFont="1" applyAlignment="1">
      <alignment horizontal="left" vertical="top"/>
    </xf>
    <xf numFmtId="167" fontId="16" fillId="0" borderId="0" xfId="0" applyNumberFormat="1" applyFont="1" applyAlignment="1">
      <alignment horizontal="left" vertical="top"/>
    </xf>
    <xf numFmtId="9" fontId="16" fillId="0" borderId="0" xfId="0" applyNumberFormat="1" applyFont="1" applyAlignment="1">
      <alignment horizontal="left" vertical="top"/>
    </xf>
    <xf numFmtId="0" fontId="16" fillId="0" borderId="0" xfId="0" applyFont="1" applyAlignment="1">
      <alignment horizontal="left" vertical="top"/>
    </xf>
    <xf numFmtId="2" fontId="16" fillId="0" borderId="0" xfId="0" applyNumberFormat="1" applyFont="1" applyAlignment="1">
      <alignment horizontal="left" vertical="top"/>
    </xf>
    <xf numFmtId="172" fontId="16" fillId="0" borderId="0" xfId="0" applyNumberFormat="1" applyFont="1" applyAlignment="1">
      <alignment horizontal="left" vertical="top"/>
    </xf>
    <xf numFmtId="0" fontId="16" fillId="18" borderId="22" xfId="0" applyFont="1" applyFill="1" applyBorder="1" applyAlignment="1">
      <alignment horizontal="center" vertical="top" wrapText="1"/>
    </xf>
    <xf numFmtId="0" fontId="16" fillId="0" borderId="23" xfId="0" applyFont="1" applyBorder="1" applyAlignment="1">
      <alignment horizontal="center" vertical="top" wrapText="1"/>
    </xf>
    <xf numFmtId="0" fontId="16" fillId="18" borderId="23" xfId="0" applyFont="1" applyFill="1" applyBorder="1" applyAlignment="1">
      <alignment horizontal="center" vertical="top" wrapText="1"/>
    </xf>
    <xf numFmtId="0" fontId="16" fillId="18" borderId="24" xfId="0" applyFont="1" applyFill="1" applyBorder="1" applyAlignment="1">
      <alignment horizontal="center" vertical="top" wrapText="1"/>
    </xf>
    <xf numFmtId="166" fontId="16" fillId="0" borderId="27" xfId="0" applyNumberFormat="1" applyFont="1" applyBorder="1" applyAlignment="1">
      <alignment horizontal="center"/>
    </xf>
    <xf numFmtId="167" fontId="16" fillId="0" borderId="17" xfId="0" applyNumberFormat="1" applyFont="1" applyBorder="1" applyAlignment="1">
      <alignment horizontal="center"/>
    </xf>
    <xf numFmtId="0" fontId="19" fillId="15" borderId="23" xfId="0" applyFont="1" applyFill="1" applyBorder="1" applyAlignment="1">
      <alignment horizontal="center" vertical="center" wrapText="1"/>
    </xf>
    <xf numFmtId="0" fontId="19" fillId="15" borderId="24" xfId="0" applyFont="1" applyFill="1" applyBorder="1" applyAlignment="1">
      <alignment horizontal="center" vertical="center" wrapText="1"/>
    </xf>
    <xf numFmtId="172" fontId="16" fillId="0" borderId="26" xfId="0" applyNumberFormat="1" applyFont="1" applyBorder="1" applyAlignment="1">
      <alignment horizontal="center"/>
    </xf>
    <xf numFmtId="0" fontId="23" fillId="15" borderId="23" xfId="0" applyFont="1" applyFill="1" applyBorder="1" applyAlignment="1">
      <alignment horizontal="center" vertical="center" wrapText="1"/>
    </xf>
    <xf numFmtId="0" fontId="20" fillId="18" borderId="0" xfId="0" applyFont="1" applyFill="1" applyAlignment="1">
      <alignment horizontal="center" vertical="top" wrapText="1"/>
    </xf>
    <xf numFmtId="0" fontId="16" fillId="0" borderId="37" xfId="0" applyFont="1" applyBorder="1"/>
    <xf numFmtId="0" fontId="20" fillId="0" borderId="38" xfId="0" applyFont="1" applyBorder="1" applyAlignment="1">
      <alignment horizontal="center"/>
    </xf>
    <xf numFmtId="10" fontId="16" fillId="24" borderId="0" xfId="0" applyNumberFormat="1" applyFont="1" applyFill="1"/>
    <xf numFmtId="0" fontId="3" fillId="0" borderId="0" xfId="1" applyAlignment="1">
      <alignment horizontal="left" vertical="center" wrapText="1" indent="1"/>
    </xf>
    <xf numFmtId="166" fontId="16" fillId="0" borderId="0" xfId="0" applyNumberFormat="1" applyFont="1" applyAlignment="1">
      <alignment horizontal="left" vertical="center" wrapText="1"/>
    </xf>
    <xf numFmtId="0" fontId="0" fillId="28" borderId="0" xfId="0" applyFill="1"/>
    <xf numFmtId="1" fontId="0" fillId="28" borderId="0" xfId="0" applyNumberFormat="1" applyFill="1" applyAlignment="1">
      <alignment horizontal="center" vertical="center"/>
    </xf>
    <xf numFmtId="166" fontId="0" fillId="28" borderId="0" xfId="0" applyNumberFormat="1" applyFill="1" applyAlignment="1">
      <alignment horizontal="center"/>
    </xf>
    <xf numFmtId="1" fontId="0" fillId="28" borderId="0" xfId="0" applyNumberFormat="1" applyFill="1" applyAlignment="1">
      <alignment horizontal="center"/>
    </xf>
    <xf numFmtId="0" fontId="0" fillId="29" borderId="0" xfId="0" applyFill="1"/>
    <xf numFmtId="1" fontId="0" fillId="29" borderId="0" xfId="0" applyNumberFormat="1" applyFill="1" applyAlignment="1">
      <alignment horizontal="center" wrapText="1"/>
    </xf>
    <xf numFmtId="1" fontId="0" fillId="29" borderId="0" xfId="0" applyNumberFormat="1" applyFill="1" applyAlignment="1">
      <alignment horizontal="center" vertical="center"/>
    </xf>
    <xf numFmtId="1" fontId="0" fillId="29" borderId="0" xfId="0" applyNumberFormat="1" applyFill="1" applyAlignment="1">
      <alignment horizontal="center"/>
    </xf>
    <xf numFmtId="166" fontId="0" fillId="29" borderId="0" xfId="0" applyNumberFormat="1" applyFill="1" applyAlignment="1">
      <alignment horizontal="center"/>
    </xf>
    <xf numFmtId="1" fontId="0" fillId="30" borderId="0" xfId="0" applyNumberFormat="1" applyFill="1" applyAlignment="1">
      <alignment horizontal="left"/>
    </xf>
    <xf numFmtId="1" fontId="0" fillId="30" borderId="0" xfId="0" applyNumberFormat="1" applyFill="1" applyAlignment="1">
      <alignment horizontal="center" wrapText="1"/>
    </xf>
    <xf numFmtId="1" fontId="0" fillId="30" borderId="0" xfId="0" applyNumberFormat="1" applyFill="1" applyAlignment="1">
      <alignment horizontal="center"/>
    </xf>
    <xf numFmtId="166" fontId="0" fillId="30" borderId="0" xfId="0" applyNumberFormat="1" applyFill="1" applyAlignment="1">
      <alignment horizontal="center"/>
    </xf>
    <xf numFmtId="1" fontId="0" fillId="30" borderId="0" xfId="0" applyNumberFormat="1" applyFill="1" applyAlignment="1">
      <alignment horizontal="center" vertical="center"/>
    </xf>
    <xf numFmtId="1" fontId="0" fillId="9" borderId="0" xfId="0" applyNumberFormat="1" applyFill="1" applyAlignment="1">
      <alignment horizontal="left" vertical="center"/>
    </xf>
    <xf numFmtId="1" fontId="0" fillId="9" borderId="0" xfId="0" applyNumberFormat="1" applyFill="1" applyAlignment="1">
      <alignment horizontal="center" wrapText="1"/>
    </xf>
    <xf numFmtId="1" fontId="0" fillId="9" borderId="0" xfId="0" applyNumberFormat="1" applyFill="1" applyAlignment="1">
      <alignment horizontal="center" vertical="center"/>
    </xf>
    <xf numFmtId="166" fontId="0" fillId="9" borderId="0" xfId="0" applyNumberFormat="1" applyFill="1" applyAlignment="1">
      <alignment horizontal="center" vertical="center"/>
    </xf>
    <xf numFmtId="1" fontId="0" fillId="9" borderId="0" xfId="0" applyNumberFormat="1" applyFill="1" applyAlignment="1">
      <alignment horizontal="center"/>
    </xf>
    <xf numFmtId="1" fontId="0" fillId="9" borderId="0" xfId="0" applyNumberFormat="1" applyFill="1" applyAlignment="1">
      <alignment horizontal="left"/>
    </xf>
    <xf numFmtId="166" fontId="0" fillId="9" borderId="0" xfId="0" applyNumberFormat="1" applyFill="1" applyAlignment="1">
      <alignment horizontal="center"/>
    </xf>
    <xf numFmtId="1" fontId="0" fillId="31" borderId="0" xfId="0" applyNumberFormat="1" applyFill="1" applyAlignment="1">
      <alignment horizontal="left" vertical="center"/>
    </xf>
    <xf numFmtId="0" fontId="0" fillId="31" borderId="0" xfId="0" applyFill="1" applyAlignment="1">
      <alignment vertical="center"/>
    </xf>
    <xf numFmtId="1" fontId="0" fillId="31" borderId="0" xfId="0" applyNumberFormat="1" applyFill="1" applyAlignment="1">
      <alignment horizontal="center" wrapText="1"/>
    </xf>
    <xf numFmtId="1" fontId="0" fillId="31" borderId="0" xfId="0" applyNumberFormat="1" applyFill="1" applyAlignment="1">
      <alignment horizontal="center" vertical="center"/>
    </xf>
    <xf numFmtId="166" fontId="0" fillId="31" borderId="0" xfId="0" applyNumberFormat="1" applyFill="1" applyAlignment="1">
      <alignment horizontal="center" vertical="center"/>
    </xf>
    <xf numFmtId="1" fontId="0" fillId="31" borderId="0" xfId="0" applyNumberFormat="1" applyFill="1" applyAlignment="1">
      <alignment horizontal="center"/>
    </xf>
    <xf numFmtId="1" fontId="0" fillId="31" borderId="0" xfId="0" applyNumberFormat="1" applyFill="1" applyAlignment="1">
      <alignment horizontal="left"/>
    </xf>
    <xf numFmtId="166" fontId="0" fillId="31" borderId="0" xfId="0" applyNumberFormat="1" applyFill="1" applyAlignment="1">
      <alignment horizontal="center"/>
    </xf>
    <xf numFmtId="0" fontId="0" fillId="31" borderId="0" xfId="0" applyFill="1"/>
    <xf numFmtId="1" fontId="0" fillId="31" borderId="0" xfId="0" applyNumberFormat="1" applyFill="1" applyAlignment="1">
      <alignment horizontal="center" vertical="center" wrapText="1"/>
    </xf>
    <xf numFmtId="1" fontId="0" fillId="22" borderId="0" xfId="0" applyNumberFormat="1" applyFill="1" applyAlignment="1">
      <alignment horizontal="left" vertical="center"/>
    </xf>
    <xf numFmtId="1" fontId="0" fillId="22" borderId="0" xfId="0" applyNumberFormat="1" applyFill="1" applyAlignment="1">
      <alignment horizontal="center"/>
    </xf>
    <xf numFmtId="1" fontId="0" fillId="22" borderId="0" xfId="0" applyNumberFormat="1" applyFill="1" applyAlignment="1">
      <alignment horizontal="center" vertical="center"/>
    </xf>
    <xf numFmtId="166" fontId="0" fillId="22" borderId="0" xfId="0" applyNumberFormat="1" applyFill="1" applyAlignment="1">
      <alignment horizontal="center" vertical="center"/>
    </xf>
    <xf numFmtId="1" fontId="0" fillId="22" borderId="0" xfId="0" applyNumberFormat="1" applyFill="1" applyAlignment="1">
      <alignment horizontal="left"/>
    </xf>
    <xf numFmtId="1" fontId="0" fillId="32" borderId="0" xfId="0" applyNumberFormat="1" applyFill="1" applyAlignment="1">
      <alignment horizontal="left" vertical="center"/>
    </xf>
    <xf numFmtId="0" fontId="14" fillId="32" borderId="0" xfId="0" applyFont="1" applyFill="1"/>
    <xf numFmtId="0" fontId="0" fillId="32" borderId="0" xfId="0" applyFill="1"/>
    <xf numFmtId="1" fontId="0" fillId="32" borderId="0" xfId="0" applyNumberFormat="1" applyFill="1" applyAlignment="1">
      <alignment horizontal="center" vertical="center"/>
    </xf>
    <xf numFmtId="166" fontId="0" fillId="32" borderId="0" xfId="0" applyNumberFormat="1" applyFill="1" applyAlignment="1">
      <alignment horizontal="center" vertical="center"/>
    </xf>
    <xf numFmtId="0" fontId="0" fillId="32" borderId="0" xfId="0" applyFill="1" applyAlignment="1">
      <alignment horizontal="center"/>
    </xf>
    <xf numFmtId="166" fontId="0" fillId="32" borderId="0" xfId="0" applyNumberFormat="1" applyFill="1" applyAlignment="1">
      <alignment horizontal="center"/>
    </xf>
    <xf numFmtId="1" fontId="0" fillId="33" borderId="0" xfId="0" applyNumberFormat="1" applyFill="1" applyAlignment="1">
      <alignment horizontal="left" vertical="center"/>
    </xf>
    <xf numFmtId="0" fontId="0" fillId="33" borderId="0" xfId="0" applyFill="1"/>
    <xf numFmtId="1" fontId="0" fillId="33" borderId="0" xfId="0" applyNumberFormat="1" applyFill="1" applyAlignment="1">
      <alignment horizontal="center" vertical="center"/>
    </xf>
    <xf numFmtId="166" fontId="0" fillId="33" borderId="0" xfId="0" applyNumberFormat="1" applyFill="1" applyAlignment="1">
      <alignment horizontal="center" vertical="center"/>
    </xf>
    <xf numFmtId="0" fontId="0" fillId="33" borderId="0" xfId="0" applyFill="1" applyAlignment="1">
      <alignment horizontal="center"/>
    </xf>
    <xf numFmtId="166" fontId="0" fillId="33" borderId="0" xfId="0" applyNumberFormat="1" applyFill="1" applyAlignment="1">
      <alignment horizontal="center"/>
    </xf>
    <xf numFmtId="1" fontId="0" fillId="33" borderId="0" xfId="0" applyNumberFormat="1" applyFill="1" applyAlignment="1">
      <alignment horizontal="center"/>
    </xf>
    <xf numFmtId="0" fontId="16" fillId="5" borderId="0" xfId="0" applyFont="1" applyFill="1" applyAlignment="1">
      <alignment horizontal="left" vertical="top"/>
    </xf>
    <xf numFmtId="0" fontId="16" fillId="5" borderId="0" xfId="0" applyFont="1" applyFill="1" applyAlignment="1">
      <alignment horizontal="center"/>
    </xf>
    <xf numFmtId="171" fontId="16" fillId="0" borderId="0" xfId="0" applyNumberFormat="1" applyFont="1" applyAlignment="1">
      <alignment horizontal="center" vertical="center"/>
    </xf>
    <xf numFmtId="0" fontId="16" fillId="5" borderId="0" xfId="0" applyFont="1" applyFill="1" applyAlignment="1">
      <alignment horizontal="left"/>
    </xf>
    <xf numFmtId="0" fontId="16" fillId="20" borderId="0" xfId="0" applyFont="1" applyFill="1" applyAlignment="1">
      <alignment horizontal="left" vertical="top"/>
    </xf>
    <xf numFmtId="0" fontId="16" fillId="20" borderId="0" xfId="0" applyFont="1" applyFill="1" applyAlignment="1">
      <alignment horizontal="center"/>
    </xf>
    <xf numFmtId="166" fontId="16" fillId="20" borderId="0" xfId="0" applyNumberFormat="1" applyFont="1" applyFill="1" applyAlignment="1">
      <alignment horizontal="center"/>
    </xf>
    <xf numFmtId="1" fontId="16" fillId="20" borderId="0" xfId="0" applyNumberFormat="1" applyFont="1" applyFill="1" applyAlignment="1">
      <alignment horizontal="center"/>
    </xf>
    <xf numFmtId="0" fontId="19" fillId="20" borderId="0" xfId="0" applyFont="1" applyFill="1" applyAlignment="1">
      <alignment horizontal="center" vertical="center" wrapText="1"/>
    </xf>
    <xf numFmtId="2" fontId="16" fillId="23" borderId="0" xfId="0" applyNumberFormat="1" applyFont="1" applyFill="1" applyAlignment="1">
      <alignment horizontal="center"/>
    </xf>
    <xf numFmtId="2" fontId="16" fillId="23" borderId="0" xfId="0" applyNumberFormat="1" applyFont="1" applyFill="1"/>
    <xf numFmtId="167" fontId="16" fillId="23" borderId="0" xfId="0" applyNumberFormat="1" applyFont="1" applyFill="1" applyAlignment="1">
      <alignment horizontal="center"/>
    </xf>
    <xf numFmtId="166" fontId="16" fillId="23" borderId="0" xfId="0" applyNumberFormat="1" applyFont="1" applyFill="1"/>
    <xf numFmtId="167" fontId="16" fillId="0" borderId="0" xfId="0" applyNumberFormat="1" applyFont="1"/>
    <xf numFmtId="177" fontId="16" fillId="23" borderId="0" xfId="0" applyNumberFormat="1" applyFont="1" applyFill="1"/>
    <xf numFmtId="169" fontId="0" fillId="7" borderId="0" xfId="0" applyNumberFormat="1" applyFill="1" applyAlignment="1">
      <alignment horizontal="center"/>
    </xf>
    <xf numFmtId="0" fontId="0" fillId="3" borderId="3" xfId="0" applyFill="1" applyBorder="1" applyAlignment="1">
      <alignment horizontal="center"/>
    </xf>
    <xf numFmtId="0" fontId="0" fillId="4" borderId="3" xfId="0" applyFill="1" applyBorder="1" applyAlignment="1">
      <alignment horizontal="center"/>
    </xf>
    <xf numFmtId="0" fontId="0" fillId="5" borderId="3" xfId="0" applyFill="1" applyBorder="1" applyAlignment="1">
      <alignment horizontal="center"/>
    </xf>
    <xf numFmtId="0" fontId="0" fillId="5" borderId="4" xfId="0" applyFill="1" applyBorder="1" applyAlignment="1">
      <alignment horizontal="center"/>
    </xf>
    <xf numFmtId="0" fontId="0" fillId="0" borderId="5" xfId="0" applyBorder="1" applyAlignment="1">
      <alignment horizontal="center"/>
    </xf>
    <xf numFmtId="0" fontId="0" fillId="0" borderId="0" xfId="0" applyAlignment="1">
      <alignment horizontal="center"/>
    </xf>
    <xf numFmtId="0" fontId="8" fillId="0" borderId="1" xfId="0" applyFont="1" applyBorder="1" applyAlignment="1">
      <alignment vertical="top" wrapText="1"/>
    </xf>
    <xf numFmtId="0" fontId="5" fillId="0" borderId="1" xfId="0" applyFont="1" applyBorder="1" applyAlignment="1">
      <alignment vertical="top" wrapText="1"/>
    </xf>
    <xf numFmtId="0" fontId="3" fillId="13" borderId="17" xfId="1" applyFill="1" applyBorder="1" applyAlignment="1">
      <alignment horizontal="left" vertical="center" wrapText="1"/>
    </xf>
    <xf numFmtId="0" fontId="3" fillId="13" borderId="28" xfId="1" applyFill="1" applyBorder="1" applyAlignment="1">
      <alignment horizontal="left" vertical="center" wrapText="1"/>
    </xf>
    <xf numFmtId="0" fontId="3" fillId="0" borderId="17" xfId="1" applyBorder="1" applyAlignment="1">
      <alignment horizontal="center" vertical="center" wrapText="1"/>
    </xf>
    <xf numFmtId="0" fontId="3" fillId="0" borderId="28" xfId="1" applyBorder="1" applyAlignment="1">
      <alignment horizontal="center" vertical="center" wrapText="1"/>
    </xf>
    <xf numFmtId="0" fontId="19" fillId="0" borderId="17" xfId="0" applyFont="1" applyBorder="1" applyAlignment="1">
      <alignment horizontal="center"/>
    </xf>
    <xf numFmtId="0" fontId="0" fillId="0" borderId="0" xfId="0"/>
    <xf numFmtId="0" fontId="15" fillId="0" borderId="0" xfId="0" applyFont="1" applyAlignment="1">
      <alignment horizontal="center" wrapText="1"/>
    </xf>
    <xf numFmtId="0" fontId="20" fillId="0" borderId="0" xfId="0" applyFont="1" applyAlignment="1">
      <alignment horizontal="left"/>
    </xf>
    <xf numFmtId="0" fontId="9" fillId="24" borderId="1" xfId="0" applyFont="1" applyFill="1" applyBorder="1" applyAlignment="1">
      <alignment horizontal="center"/>
    </xf>
    <xf numFmtId="0" fontId="20" fillId="20" borderId="0" xfId="0" applyFont="1" applyFill="1" applyAlignment="1">
      <alignment horizontal="left"/>
    </xf>
    <xf numFmtId="0" fontId="20" fillId="18" borderId="0" xfId="0" applyFont="1" applyFill="1" applyAlignment="1">
      <alignment horizontal="left"/>
    </xf>
    <xf numFmtId="0" fontId="9" fillId="24" borderId="35" xfId="0" applyFont="1" applyFill="1" applyBorder="1" applyAlignment="1">
      <alignment horizontal="center"/>
    </xf>
    <xf numFmtId="0" fontId="9" fillId="24" borderId="36" xfId="0" applyFont="1" applyFill="1" applyBorder="1" applyAlignment="1">
      <alignment horizontal="center"/>
    </xf>
    <xf numFmtId="0" fontId="9" fillId="24" borderId="18" xfId="0" applyFont="1" applyFill="1" applyBorder="1" applyAlignment="1">
      <alignment horizontal="center"/>
    </xf>
    <xf numFmtId="0" fontId="16" fillId="3" borderId="22" xfId="0" applyFont="1" applyFill="1" applyBorder="1" applyAlignment="1">
      <alignment horizontal="center"/>
    </xf>
    <xf numFmtId="0" fontId="16" fillId="3" borderId="23" xfId="0" applyFont="1" applyFill="1" applyBorder="1" applyAlignment="1">
      <alignment horizontal="center"/>
    </xf>
    <xf numFmtId="0" fontId="16" fillId="3" borderId="24" xfId="0" applyFont="1" applyFill="1" applyBorder="1" applyAlignment="1">
      <alignment horizontal="center"/>
    </xf>
    <xf numFmtId="0" fontId="16" fillId="0" borderId="25" xfId="0" applyFont="1" applyBorder="1" applyAlignment="1">
      <alignment horizontal="center"/>
    </xf>
    <xf numFmtId="0" fontId="16" fillId="0" borderId="0" xfId="0" applyFont="1" applyAlignment="1">
      <alignment horizontal="center"/>
    </xf>
    <xf numFmtId="0" fontId="16" fillId="0" borderId="27" xfId="0" applyFont="1" applyBorder="1" applyAlignment="1">
      <alignment horizontal="center"/>
    </xf>
    <xf numFmtId="0" fontId="16" fillId="0" borderId="17" xfId="0" applyFont="1" applyBorder="1" applyAlignment="1">
      <alignment horizontal="center"/>
    </xf>
    <xf numFmtId="0" fontId="16" fillId="3" borderId="22" xfId="0" applyFont="1" applyFill="1" applyBorder="1" applyAlignment="1">
      <alignment horizontal="left"/>
    </xf>
    <xf numFmtId="0" fontId="16" fillId="3" borderId="23" xfId="0" applyFont="1" applyFill="1" applyBorder="1" applyAlignment="1">
      <alignment horizontal="left"/>
    </xf>
    <xf numFmtId="0" fontId="16" fillId="3" borderId="24" xfId="0" applyFont="1" applyFill="1" applyBorder="1" applyAlignment="1">
      <alignment horizontal="left"/>
    </xf>
    <xf numFmtId="172" fontId="19" fillId="0" borderId="27" xfId="0" applyNumberFormat="1" applyFont="1" applyBorder="1" applyAlignment="1">
      <alignment horizontal="center"/>
    </xf>
    <xf numFmtId="172" fontId="19" fillId="0" borderId="17" xfId="0" applyNumberFormat="1" applyFont="1" applyBorder="1" applyAlignment="1">
      <alignment horizontal="center"/>
    </xf>
    <xf numFmtId="172" fontId="19" fillId="0" borderId="25" xfId="0" applyNumberFormat="1" applyFont="1" applyBorder="1" applyAlignment="1">
      <alignment horizontal="center"/>
    </xf>
    <xf numFmtId="172" fontId="19" fillId="0" borderId="0" xfId="0" applyNumberFormat="1" applyFont="1" applyAlignment="1">
      <alignment horizontal="center"/>
    </xf>
    <xf numFmtId="172" fontId="0" fillId="0" borderId="25" xfId="0" applyNumberFormat="1" applyBorder="1" applyAlignment="1">
      <alignment horizontal="center"/>
    </xf>
    <xf numFmtId="172" fontId="0" fillId="0" borderId="0" xfId="0" applyNumberFormat="1" applyAlignment="1">
      <alignment horizontal="center"/>
    </xf>
    <xf numFmtId="0" fontId="16" fillId="3" borderId="2" xfId="0" applyFont="1" applyFill="1" applyBorder="1" applyAlignment="1">
      <alignment horizontal="center"/>
    </xf>
    <xf numFmtId="0" fontId="16" fillId="3" borderId="3" xfId="0" applyFont="1" applyFill="1" applyBorder="1" applyAlignment="1">
      <alignment horizontal="center"/>
    </xf>
    <xf numFmtId="0" fontId="16" fillId="3" borderId="4" xfId="0" applyFont="1" applyFill="1" applyBorder="1" applyAlignment="1">
      <alignment horizontal="center"/>
    </xf>
    <xf numFmtId="0" fontId="16" fillId="0" borderId="8" xfId="0" applyFont="1" applyBorder="1" applyAlignment="1">
      <alignment horizontal="center"/>
    </xf>
    <xf numFmtId="0" fontId="16" fillId="3" borderId="2" xfId="0" applyFont="1" applyFill="1" applyBorder="1" applyAlignment="1">
      <alignment horizontal="left"/>
    </xf>
    <xf numFmtId="0" fontId="16" fillId="3" borderId="3" xfId="0" applyFont="1" applyFill="1" applyBorder="1" applyAlignment="1">
      <alignment horizontal="left"/>
    </xf>
    <xf numFmtId="0" fontId="16" fillId="3" borderId="4" xfId="0" applyFont="1" applyFill="1" applyBorder="1" applyAlignment="1">
      <alignment horizontal="left"/>
    </xf>
    <xf numFmtId="0" fontId="20" fillId="14" borderId="38" xfId="0" applyFont="1" applyFill="1" applyBorder="1" applyAlignment="1">
      <alignment horizontal="center"/>
    </xf>
    <xf numFmtId="0" fontId="14" fillId="3" borderId="22" xfId="0" applyFont="1" applyFill="1" applyBorder="1" applyAlignment="1">
      <alignment horizontal="center"/>
    </xf>
    <xf numFmtId="0" fontId="14" fillId="3" borderId="24" xfId="0" applyFont="1" applyFill="1" applyBorder="1" applyAlignment="1">
      <alignment horizontal="center"/>
    </xf>
    <xf numFmtId="0" fontId="14" fillId="3" borderId="23" xfId="0" applyFont="1" applyFill="1" applyBorder="1" applyAlignment="1">
      <alignment horizontal="center"/>
    </xf>
    <xf numFmtId="0" fontId="14" fillId="3" borderId="0" xfId="0" applyFont="1" applyFill="1" applyAlignment="1">
      <alignment horizontal="center"/>
    </xf>
    <xf numFmtId="0" fontId="9" fillId="16" borderId="0" xfId="0" applyFont="1" applyFill="1" applyAlignment="1">
      <alignment horizontal="center" vertical="center"/>
    </xf>
    <xf numFmtId="0" fontId="0" fillId="3" borderId="0" xfId="0" applyFill="1" applyAlignment="1">
      <alignment horizontal="center"/>
    </xf>
    <xf numFmtId="0" fontId="0" fillId="2" borderId="0" xfId="0" applyFill="1" applyAlignment="1">
      <alignment horizontal="center"/>
    </xf>
    <xf numFmtId="0" fontId="0" fillId="18" borderId="0" xfId="0" applyFill="1" applyAlignment="1">
      <alignment horizontal="center"/>
    </xf>
    <xf numFmtId="0" fontId="0" fillId="17" borderId="0" xfId="0" applyFill="1" applyAlignment="1">
      <alignment horizontal="center"/>
    </xf>
    <xf numFmtId="0" fontId="0" fillId="10" borderId="0" xfId="0" applyFill="1" applyAlignment="1">
      <alignment horizontal="center"/>
    </xf>
    <xf numFmtId="0" fontId="0" fillId="2" borderId="1" xfId="0" applyFill="1" applyBorder="1" applyAlignment="1">
      <alignment horizontal="center"/>
    </xf>
    <xf numFmtId="0" fontId="0" fillId="0" borderId="19" xfId="0" applyBorder="1" applyAlignment="1">
      <alignment horizontal="center"/>
    </xf>
    <xf numFmtId="0" fontId="0" fillId="0" borderId="20" xfId="0" applyBorder="1" applyAlignment="1">
      <alignment horizontal="center"/>
    </xf>
    <xf numFmtId="0" fontId="0" fillId="0" borderId="21" xfId="0" applyBorder="1" applyAlignment="1">
      <alignment horizontal="center"/>
    </xf>
    <xf numFmtId="0" fontId="0" fillId="22" borderId="0" xfId="0" applyFill="1" applyAlignment="1">
      <alignment horizontal="center"/>
    </xf>
    <xf numFmtId="0" fontId="0" fillId="13" borderId="0" xfId="0" applyFill="1" applyAlignment="1">
      <alignment horizontal="center"/>
    </xf>
    <xf numFmtId="0" fontId="18" fillId="13" borderId="0" xfId="0" applyFont="1" applyFill="1" applyAlignment="1">
      <alignment horizontal="center"/>
    </xf>
    <xf numFmtId="0" fontId="0" fillId="14" borderId="0" xfId="0" applyFill="1" applyAlignment="1">
      <alignment horizontal="center"/>
    </xf>
    <xf numFmtId="0" fontId="17" fillId="11" borderId="0" xfId="0" applyFont="1" applyFill="1" applyAlignment="1">
      <alignment horizontal="center"/>
    </xf>
    <xf numFmtId="0" fontId="0" fillId="12" borderId="0" xfId="0" applyFill="1" applyAlignment="1">
      <alignment horizontal="center"/>
    </xf>
    <xf numFmtId="0" fontId="17" fillId="2" borderId="0" xfId="0" applyFont="1" applyFill="1" applyAlignment="1">
      <alignment horizontal="center"/>
    </xf>
    <xf numFmtId="0" fontId="17" fillId="12" borderId="0" xfId="0" applyFont="1" applyFill="1"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microsoft.com/office/2022/10/relationships/richValueRel" Target="richData/richValueRel.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eetMetadata" Target="metadata.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32"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28" Type="http://schemas.microsoft.com/office/2017/06/relationships/rdRichValueStructure" Target="richData/rdrichvaluestructure.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 Id="rId27" Type="http://schemas.microsoft.com/office/2017/06/relationships/rdRichValue" Target="richData/rdrichvalue.xml"/><Relationship Id="rId30" Type="http://schemas.microsoft.com/office/2017/10/relationships/person" Target="persons/person.xml"/></Relationships>
</file>

<file path=xl/ctrlProps/ctrlProp1.xml><?xml version="1.0" encoding="utf-8"?>
<formControlPr xmlns="http://schemas.microsoft.com/office/spreadsheetml/2009/9/main" objectType="Drop" dropStyle="combo" dx="31" fmlaLink="$F$8" fmlaRange="$C$8:$C$9" noThreeD="1" sel="1" val="0"/>
</file>

<file path=xl/drawings/_rels/drawing1.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tmp"/><Relationship Id="rId3" Type="http://schemas.openxmlformats.org/officeDocument/2006/relationships/image" Target="../media/image19.png"/><Relationship Id="rId21" Type="http://schemas.openxmlformats.org/officeDocument/2006/relationships/image" Target="../media/image37.tmp"/><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tmp"/><Relationship Id="rId25" Type="http://schemas.openxmlformats.org/officeDocument/2006/relationships/image" Target="../media/image41.png"/><Relationship Id="rId2" Type="http://schemas.openxmlformats.org/officeDocument/2006/relationships/image" Target="../media/image18.png"/><Relationship Id="rId16" Type="http://schemas.openxmlformats.org/officeDocument/2006/relationships/image" Target="../media/image32.tmp"/><Relationship Id="rId20" Type="http://schemas.openxmlformats.org/officeDocument/2006/relationships/image" Target="../media/image36.tmp"/><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24" Type="http://schemas.openxmlformats.org/officeDocument/2006/relationships/image" Target="../media/image40.tmp"/><Relationship Id="rId5" Type="http://schemas.openxmlformats.org/officeDocument/2006/relationships/image" Target="../media/image21.png"/><Relationship Id="rId15" Type="http://schemas.openxmlformats.org/officeDocument/2006/relationships/image" Target="../media/image31.tmp"/><Relationship Id="rId23" Type="http://schemas.openxmlformats.org/officeDocument/2006/relationships/image" Target="../media/image39.tmp"/><Relationship Id="rId10" Type="http://schemas.openxmlformats.org/officeDocument/2006/relationships/image" Target="../media/image26.png"/><Relationship Id="rId19" Type="http://schemas.openxmlformats.org/officeDocument/2006/relationships/image" Target="../media/image35.tmp"/><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 Id="rId22" Type="http://schemas.openxmlformats.org/officeDocument/2006/relationships/image" Target="../media/image38.tmp"/></Relationships>
</file>

<file path=xl/drawings/_rels/drawing5.xml.rels><?xml version="1.0" encoding="UTF-8" standalone="yes"?>
<Relationships xmlns="http://schemas.openxmlformats.org/package/2006/relationships"><Relationship Id="rId1" Type="http://schemas.openxmlformats.org/officeDocument/2006/relationships/image" Target="../media/image42.png"/></Relationships>
</file>

<file path=xl/drawings/_rels/drawing6.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svg"/><Relationship Id="rId1" Type="http://schemas.openxmlformats.org/officeDocument/2006/relationships/image" Target="../media/image43.png"/><Relationship Id="rId4" Type="http://schemas.openxmlformats.org/officeDocument/2006/relationships/image" Target="../media/image46.sv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150092</xdr:rowOff>
    </xdr:from>
    <xdr:to>
      <xdr:col>11</xdr:col>
      <xdr:colOff>288925</xdr:colOff>
      <xdr:row>23</xdr:row>
      <xdr:rowOff>92518</xdr:rowOff>
    </xdr:to>
    <xdr:pic>
      <xdr:nvPicPr>
        <xdr:cNvPr id="44" name="Picture 1">
          <a:extLst>
            <a:ext uri="{FF2B5EF4-FFF2-40B4-BE49-F238E27FC236}">
              <a16:creationId xmlns:a16="http://schemas.microsoft.com/office/drawing/2014/main" id="{6B4DE3A3-508E-E2C3-776C-EF9BEC011546}"/>
            </a:ext>
          </a:extLst>
        </xdr:cNvPr>
        <xdr:cNvPicPr>
          <a:picLocks noChangeAspect="1"/>
        </xdr:cNvPicPr>
      </xdr:nvPicPr>
      <xdr:blipFill>
        <a:blip xmlns:r="http://schemas.openxmlformats.org/officeDocument/2006/relationships" r:embed="rId1"/>
        <a:stretch>
          <a:fillRect/>
        </a:stretch>
      </xdr:blipFill>
      <xdr:spPr>
        <a:xfrm>
          <a:off x="0" y="150092"/>
          <a:ext cx="6994525" cy="4148666"/>
        </a:xfrm>
        <a:prstGeom prst="rect">
          <a:avLst/>
        </a:prstGeom>
      </xdr:spPr>
    </xdr:pic>
    <xdr:clientData/>
  </xdr:twoCellAnchor>
  <xdr:twoCellAnchor editAs="oneCell">
    <xdr:from>
      <xdr:col>11</xdr:col>
      <xdr:colOff>155222</xdr:colOff>
      <xdr:row>1</xdr:row>
      <xdr:rowOff>0</xdr:rowOff>
    </xdr:from>
    <xdr:to>
      <xdr:col>23</xdr:col>
      <xdr:colOff>314779</xdr:colOff>
      <xdr:row>23</xdr:row>
      <xdr:rowOff>150636</xdr:rowOff>
    </xdr:to>
    <xdr:pic>
      <xdr:nvPicPr>
        <xdr:cNvPr id="3" name="Picture 2">
          <a:extLst>
            <a:ext uri="{FF2B5EF4-FFF2-40B4-BE49-F238E27FC236}">
              <a16:creationId xmlns:a16="http://schemas.microsoft.com/office/drawing/2014/main" id="{80E61C1C-5357-C627-32C6-5F7B1957C4BA}"/>
            </a:ext>
          </a:extLst>
        </xdr:cNvPr>
        <xdr:cNvPicPr>
          <a:picLocks noChangeAspect="1"/>
        </xdr:cNvPicPr>
      </xdr:nvPicPr>
      <xdr:blipFill>
        <a:blip xmlns:r="http://schemas.openxmlformats.org/officeDocument/2006/relationships" r:embed="rId2"/>
        <a:stretch>
          <a:fillRect/>
        </a:stretch>
      </xdr:blipFill>
      <xdr:spPr>
        <a:xfrm>
          <a:off x="6840865" y="0"/>
          <a:ext cx="7446635" cy="4132540"/>
        </a:xfrm>
        <a:prstGeom prst="rect">
          <a:avLst/>
        </a:prstGeom>
      </xdr:spPr>
    </xdr:pic>
    <xdr:clientData/>
  </xdr:twoCellAnchor>
  <xdr:twoCellAnchor>
    <xdr:from>
      <xdr:col>0</xdr:col>
      <xdr:colOff>14753</xdr:colOff>
      <xdr:row>1</xdr:row>
      <xdr:rowOff>5773</xdr:rowOff>
    </xdr:from>
    <xdr:to>
      <xdr:col>3</xdr:col>
      <xdr:colOff>367531</xdr:colOff>
      <xdr:row>2</xdr:row>
      <xdr:rowOff>127000</xdr:rowOff>
    </xdr:to>
    <xdr:sp macro="" textlink="">
      <xdr:nvSpPr>
        <xdr:cNvPr id="4" name="TextBox 3">
          <a:extLst>
            <a:ext uri="{FF2B5EF4-FFF2-40B4-BE49-F238E27FC236}">
              <a16:creationId xmlns:a16="http://schemas.microsoft.com/office/drawing/2014/main" id="{AB0E9C27-73AD-BC48-4D53-A2B61303E3B7}"/>
            </a:ext>
          </a:extLst>
        </xdr:cNvPr>
        <xdr:cNvSpPr txBox="1"/>
      </xdr:nvSpPr>
      <xdr:spPr>
        <a:xfrm>
          <a:off x="14753" y="187202"/>
          <a:ext cx="2176135" cy="3026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AlMukdad 2021 </a:t>
          </a:r>
        </a:p>
      </xdr:txBody>
    </xdr:sp>
    <xdr:clientData/>
  </xdr:twoCellAnchor>
  <xdr:twoCellAnchor editAs="oneCell">
    <xdr:from>
      <xdr:col>0</xdr:col>
      <xdr:colOff>0</xdr:colOff>
      <xdr:row>62</xdr:row>
      <xdr:rowOff>161635</xdr:rowOff>
    </xdr:from>
    <xdr:to>
      <xdr:col>11</xdr:col>
      <xdr:colOff>28285</xdr:colOff>
      <xdr:row>88</xdr:row>
      <xdr:rowOff>169679</xdr:rowOff>
    </xdr:to>
    <xdr:pic>
      <xdr:nvPicPr>
        <xdr:cNvPr id="5" name="Picture 4">
          <a:extLst>
            <a:ext uri="{FF2B5EF4-FFF2-40B4-BE49-F238E27FC236}">
              <a16:creationId xmlns:a16="http://schemas.microsoft.com/office/drawing/2014/main" id="{C43B9866-6FE2-A774-3AF3-4503037176A2}"/>
            </a:ext>
          </a:extLst>
        </xdr:cNvPr>
        <xdr:cNvPicPr>
          <a:picLocks noChangeAspect="1"/>
        </xdr:cNvPicPr>
      </xdr:nvPicPr>
      <xdr:blipFill>
        <a:blip xmlns:r="http://schemas.openxmlformats.org/officeDocument/2006/relationships" r:embed="rId3"/>
        <a:stretch>
          <a:fillRect/>
        </a:stretch>
      </xdr:blipFill>
      <xdr:spPr>
        <a:xfrm>
          <a:off x="0" y="4595090"/>
          <a:ext cx="6765635" cy="4810953"/>
        </a:xfrm>
        <a:prstGeom prst="rect">
          <a:avLst/>
        </a:prstGeom>
      </xdr:spPr>
    </xdr:pic>
    <xdr:clientData/>
  </xdr:twoCellAnchor>
  <xdr:twoCellAnchor editAs="oneCell">
    <xdr:from>
      <xdr:col>10</xdr:col>
      <xdr:colOff>600364</xdr:colOff>
      <xdr:row>62</xdr:row>
      <xdr:rowOff>46182</xdr:rowOff>
    </xdr:from>
    <xdr:to>
      <xdr:col>23</xdr:col>
      <xdr:colOff>265546</xdr:colOff>
      <xdr:row>88</xdr:row>
      <xdr:rowOff>130175</xdr:rowOff>
    </xdr:to>
    <xdr:pic>
      <xdr:nvPicPr>
        <xdr:cNvPr id="6" name="Picture 5">
          <a:extLst>
            <a:ext uri="{FF2B5EF4-FFF2-40B4-BE49-F238E27FC236}">
              <a16:creationId xmlns:a16="http://schemas.microsoft.com/office/drawing/2014/main" id="{C06AAF90-03B4-31B1-7092-81D1D95FDE4E}"/>
            </a:ext>
          </a:extLst>
        </xdr:cNvPr>
        <xdr:cNvPicPr>
          <a:picLocks noChangeAspect="1"/>
        </xdr:cNvPicPr>
      </xdr:nvPicPr>
      <xdr:blipFill>
        <a:blip xmlns:r="http://schemas.openxmlformats.org/officeDocument/2006/relationships" r:embed="rId4"/>
        <a:stretch>
          <a:fillRect/>
        </a:stretch>
      </xdr:blipFill>
      <xdr:spPr>
        <a:xfrm>
          <a:off x="6719455" y="4479637"/>
          <a:ext cx="7620000" cy="4883727"/>
        </a:xfrm>
        <a:prstGeom prst="rect">
          <a:avLst/>
        </a:prstGeom>
      </xdr:spPr>
    </xdr:pic>
    <xdr:clientData/>
  </xdr:twoCellAnchor>
  <xdr:twoCellAnchor>
    <xdr:from>
      <xdr:col>0</xdr:col>
      <xdr:colOff>0</xdr:colOff>
      <xdr:row>61</xdr:row>
      <xdr:rowOff>31171</xdr:rowOff>
    </xdr:from>
    <xdr:to>
      <xdr:col>3</xdr:col>
      <xdr:colOff>352778</xdr:colOff>
      <xdr:row>62</xdr:row>
      <xdr:rowOff>152399</xdr:rowOff>
    </xdr:to>
    <xdr:sp macro="" textlink="">
      <xdr:nvSpPr>
        <xdr:cNvPr id="7" name="TextBox 6">
          <a:extLst>
            <a:ext uri="{FF2B5EF4-FFF2-40B4-BE49-F238E27FC236}">
              <a16:creationId xmlns:a16="http://schemas.microsoft.com/office/drawing/2014/main" id="{E6941A1D-C555-4F0C-8C63-F279CA57F73A}"/>
            </a:ext>
          </a:extLst>
        </xdr:cNvPr>
        <xdr:cNvSpPr txBox="1"/>
      </xdr:nvSpPr>
      <xdr:spPr>
        <a:xfrm>
          <a:off x="0" y="4464626"/>
          <a:ext cx="2188505" cy="3059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Claassens 2022 </a:t>
          </a:r>
          <a:endParaRPr lang="en-GB" sz="1100"/>
        </a:p>
      </xdr:txBody>
    </xdr:sp>
    <xdr:clientData/>
  </xdr:twoCellAnchor>
  <xdr:twoCellAnchor editAs="oneCell">
    <xdr:from>
      <xdr:col>0</xdr:col>
      <xdr:colOff>0</xdr:colOff>
      <xdr:row>91</xdr:row>
      <xdr:rowOff>102260</xdr:rowOff>
    </xdr:from>
    <xdr:to>
      <xdr:col>19</xdr:col>
      <xdr:colOff>161635</xdr:colOff>
      <xdr:row>125</xdr:row>
      <xdr:rowOff>67629</xdr:rowOff>
    </xdr:to>
    <xdr:pic>
      <xdr:nvPicPr>
        <xdr:cNvPr id="8" name="Picture 7">
          <a:extLst>
            <a:ext uri="{FF2B5EF4-FFF2-40B4-BE49-F238E27FC236}">
              <a16:creationId xmlns:a16="http://schemas.microsoft.com/office/drawing/2014/main" id="{4A14EB3F-4EC5-DCB6-5B1F-72C6E52AFCED}"/>
            </a:ext>
          </a:extLst>
        </xdr:cNvPr>
        <xdr:cNvPicPr>
          <a:picLocks noChangeAspect="1"/>
        </xdr:cNvPicPr>
      </xdr:nvPicPr>
      <xdr:blipFill>
        <a:blip xmlns:r="http://schemas.openxmlformats.org/officeDocument/2006/relationships" r:embed="rId5"/>
        <a:stretch>
          <a:fillRect/>
        </a:stretch>
      </xdr:blipFill>
      <xdr:spPr>
        <a:xfrm>
          <a:off x="0" y="9899403"/>
          <a:ext cx="11709564" cy="6127590"/>
        </a:xfrm>
        <a:prstGeom prst="rect">
          <a:avLst/>
        </a:prstGeom>
      </xdr:spPr>
    </xdr:pic>
    <xdr:clientData/>
  </xdr:twoCellAnchor>
  <xdr:twoCellAnchor>
    <xdr:from>
      <xdr:col>0</xdr:col>
      <xdr:colOff>11546</xdr:colOff>
      <xdr:row>89</xdr:row>
      <xdr:rowOff>183572</xdr:rowOff>
    </xdr:from>
    <xdr:to>
      <xdr:col>3</xdr:col>
      <xdr:colOff>364324</xdr:colOff>
      <xdr:row>91</xdr:row>
      <xdr:rowOff>120072</xdr:rowOff>
    </xdr:to>
    <xdr:sp macro="" textlink="">
      <xdr:nvSpPr>
        <xdr:cNvPr id="9" name="TextBox 8">
          <a:extLst>
            <a:ext uri="{FF2B5EF4-FFF2-40B4-BE49-F238E27FC236}">
              <a16:creationId xmlns:a16="http://schemas.microsoft.com/office/drawing/2014/main" id="{74C77102-6FD7-49A5-A7B5-BAE96D11FDDA}"/>
            </a:ext>
          </a:extLst>
        </xdr:cNvPr>
        <xdr:cNvSpPr txBox="1"/>
      </xdr:nvSpPr>
      <xdr:spPr>
        <a:xfrm>
          <a:off x="11546" y="9789390"/>
          <a:ext cx="2188505" cy="3059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Dong 2023 </a:t>
          </a:r>
          <a:endParaRPr lang="en-GB" sz="1100"/>
        </a:p>
      </xdr:txBody>
    </xdr:sp>
    <xdr:clientData/>
  </xdr:twoCellAnchor>
  <xdr:twoCellAnchor editAs="oneCell">
    <xdr:from>
      <xdr:col>0</xdr:col>
      <xdr:colOff>18144</xdr:colOff>
      <xdr:row>28</xdr:row>
      <xdr:rowOff>90715</xdr:rowOff>
    </xdr:from>
    <xdr:to>
      <xdr:col>13</xdr:col>
      <xdr:colOff>381001</xdr:colOff>
      <xdr:row>60</xdr:row>
      <xdr:rowOff>799</xdr:rowOff>
    </xdr:to>
    <xdr:pic>
      <xdr:nvPicPr>
        <xdr:cNvPr id="13" name="Picture 12">
          <a:extLst>
            <a:ext uri="{FF2B5EF4-FFF2-40B4-BE49-F238E27FC236}">
              <a16:creationId xmlns:a16="http://schemas.microsoft.com/office/drawing/2014/main" id="{4713D0EF-559C-4E03-A8E4-23C43A90EE5D}"/>
            </a:ext>
          </a:extLst>
        </xdr:cNvPr>
        <xdr:cNvPicPr>
          <a:picLocks noChangeAspect="1"/>
        </xdr:cNvPicPr>
      </xdr:nvPicPr>
      <xdr:blipFill>
        <a:blip xmlns:r="http://schemas.openxmlformats.org/officeDocument/2006/relationships" r:embed="rId6"/>
        <a:stretch>
          <a:fillRect/>
        </a:stretch>
      </xdr:blipFill>
      <xdr:spPr>
        <a:xfrm>
          <a:off x="18144" y="5170715"/>
          <a:ext cx="8264071" cy="5715798"/>
        </a:xfrm>
        <a:prstGeom prst="rect">
          <a:avLst/>
        </a:prstGeom>
      </xdr:spPr>
    </xdr:pic>
    <xdr:clientData/>
  </xdr:twoCellAnchor>
  <xdr:twoCellAnchor>
    <xdr:from>
      <xdr:col>0</xdr:col>
      <xdr:colOff>0</xdr:colOff>
      <xdr:row>26</xdr:row>
      <xdr:rowOff>145143</xdr:rowOff>
    </xdr:from>
    <xdr:to>
      <xdr:col>3</xdr:col>
      <xdr:colOff>352778</xdr:colOff>
      <xdr:row>28</xdr:row>
      <xdr:rowOff>81644</xdr:rowOff>
    </xdr:to>
    <xdr:sp macro="" textlink="">
      <xdr:nvSpPr>
        <xdr:cNvPr id="14" name="TextBox 13">
          <a:extLst>
            <a:ext uri="{FF2B5EF4-FFF2-40B4-BE49-F238E27FC236}">
              <a16:creationId xmlns:a16="http://schemas.microsoft.com/office/drawing/2014/main" id="{F02F1ABE-1177-4C6F-87AA-9124BDC3A391}"/>
            </a:ext>
          </a:extLst>
        </xdr:cNvPr>
        <xdr:cNvSpPr txBox="1"/>
      </xdr:nvSpPr>
      <xdr:spPr>
        <a:xfrm>
          <a:off x="0" y="4862286"/>
          <a:ext cx="2176135" cy="299358"/>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Borse 2017 </a:t>
          </a:r>
          <a:endParaRPr lang="en-GB" sz="1100"/>
        </a:p>
      </xdr:txBody>
    </xdr:sp>
    <xdr:clientData/>
  </xdr:twoCellAnchor>
  <xdr:twoCellAnchor>
    <xdr:from>
      <xdr:col>0</xdr:col>
      <xdr:colOff>63500</xdr:colOff>
      <xdr:row>125</xdr:row>
      <xdr:rowOff>117929</xdr:rowOff>
    </xdr:from>
    <xdr:to>
      <xdr:col>3</xdr:col>
      <xdr:colOff>416278</xdr:colOff>
      <xdr:row>127</xdr:row>
      <xdr:rowOff>57604</xdr:rowOff>
    </xdr:to>
    <xdr:sp macro="" textlink="">
      <xdr:nvSpPr>
        <xdr:cNvPr id="11" name="TextBox 10">
          <a:extLst>
            <a:ext uri="{FF2B5EF4-FFF2-40B4-BE49-F238E27FC236}">
              <a16:creationId xmlns:a16="http://schemas.microsoft.com/office/drawing/2014/main" id="{477D8AED-F812-4867-A595-AB384529FCA5}"/>
            </a:ext>
          </a:extLst>
        </xdr:cNvPr>
        <xdr:cNvSpPr txBox="1"/>
      </xdr:nvSpPr>
      <xdr:spPr>
        <a:xfrm>
          <a:off x="63500" y="23930429"/>
          <a:ext cx="2176135" cy="32067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Fu 2019</a:t>
          </a:r>
          <a:endParaRPr lang="en-GB" sz="1100"/>
        </a:p>
      </xdr:txBody>
    </xdr:sp>
    <xdr:clientData/>
  </xdr:twoCellAnchor>
  <xdr:twoCellAnchor editAs="oneCell">
    <xdr:from>
      <xdr:col>0</xdr:col>
      <xdr:colOff>18143</xdr:colOff>
      <xdr:row>127</xdr:row>
      <xdr:rowOff>63500</xdr:rowOff>
    </xdr:from>
    <xdr:to>
      <xdr:col>17</xdr:col>
      <xdr:colOff>536275</xdr:colOff>
      <xdr:row>151</xdr:row>
      <xdr:rowOff>102243</xdr:rowOff>
    </xdr:to>
    <xdr:pic>
      <xdr:nvPicPr>
        <xdr:cNvPr id="12" name="Picture 11">
          <a:extLst>
            <a:ext uri="{FF2B5EF4-FFF2-40B4-BE49-F238E27FC236}">
              <a16:creationId xmlns:a16="http://schemas.microsoft.com/office/drawing/2014/main" id="{B8C30C7B-0C77-E85B-2A94-A0DA4A0DC72D}"/>
            </a:ext>
          </a:extLst>
        </xdr:cNvPr>
        <xdr:cNvPicPr>
          <a:picLocks noChangeAspect="1"/>
        </xdr:cNvPicPr>
      </xdr:nvPicPr>
      <xdr:blipFill>
        <a:blip xmlns:r="http://schemas.openxmlformats.org/officeDocument/2006/relationships" r:embed="rId7"/>
        <a:stretch>
          <a:fillRect/>
        </a:stretch>
      </xdr:blipFill>
      <xdr:spPr>
        <a:xfrm>
          <a:off x="18143" y="24257000"/>
          <a:ext cx="10850489" cy="4610743"/>
        </a:xfrm>
        <a:prstGeom prst="rect">
          <a:avLst/>
        </a:prstGeom>
      </xdr:spPr>
    </xdr:pic>
    <xdr:clientData/>
  </xdr:twoCellAnchor>
  <xdr:twoCellAnchor editAs="oneCell">
    <xdr:from>
      <xdr:col>17</xdr:col>
      <xdr:colOff>511175</xdr:colOff>
      <xdr:row>127</xdr:row>
      <xdr:rowOff>84818</xdr:rowOff>
    </xdr:from>
    <xdr:to>
      <xdr:col>31</xdr:col>
      <xdr:colOff>353590</xdr:colOff>
      <xdr:row>151</xdr:row>
      <xdr:rowOff>124279</xdr:rowOff>
    </xdr:to>
    <xdr:pic>
      <xdr:nvPicPr>
        <xdr:cNvPr id="15" name="Picture 14">
          <a:extLst>
            <a:ext uri="{FF2B5EF4-FFF2-40B4-BE49-F238E27FC236}">
              <a16:creationId xmlns:a16="http://schemas.microsoft.com/office/drawing/2014/main" id="{60E72D17-E506-1852-7A99-457BFCCA9F8B}"/>
            </a:ext>
          </a:extLst>
        </xdr:cNvPr>
        <xdr:cNvPicPr>
          <a:picLocks noChangeAspect="1"/>
        </xdr:cNvPicPr>
      </xdr:nvPicPr>
      <xdr:blipFill>
        <a:blip xmlns:r="http://schemas.openxmlformats.org/officeDocument/2006/relationships" r:embed="rId8"/>
        <a:stretch>
          <a:fillRect/>
        </a:stretch>
      </xdr:blipFill>
      <xdr:spPr>
        <a:xfrm>
          <a:off x="10843532" y="24278318"/>
          <a:ext cx="8345065" cy="4605111"/>
        </a:xfrm>
        <a:prstGeom prst="rect">
          <a:avLst/>
        </a:prstGeom>
      </xdr:spPr>
    </xdr:pic>
    <xdr:clientData/>
  </xdr:twoCellAnchor>
  <xdr:twoCellAnchor>
    <xdr:from>
      <xdr:col>0</xdr:col>
      <xdr:colOff>0</xdr:colOff>
      <xdr:row>152</xdr:row>
      <xdr:rowOff>9071</xdr:rowOff>
    </xdr:from>
    <xdr:to>
      <xdr:col>3</xdr:col>
      <xdr:colOff>352778</xdr:colOff>
      <xdr:row>153</xdr:row>
      <xdr:rowOff>130176</xdr:rowOff>
    </xdr:to>
    <xdr:sp macro="" textlink="">
      <xdr:nvSpPr>
        <xdr:cNvPr id="10" name="TextBox 9">
          <a:extLst>
            <a:ext uri="{FF2B5EF4-FFF2-40B4-BE49-F238E27FC236}">
              <a16:creationId xmlns:a16="http://schemas.microsoft.com/office/drawing/2014/main" id="{C03FDE7D-C455-4F1C-983E-39A4A5D8530A}"/>
            </a:ext>
          </a:extLst>
        </xdr:cNvPr>
        <xdr:cNvSpPr txBox="1"/>
      </xdr:nvSpPr>
      <xdr:spPr>
        <a:xfrm>
          <a:off x="0" y="27586214"/>
          <a:ext cx="2176135" cy="302533"/>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Heart</a:t>
          </a:r>
          <a:r>
            <a:rPr lang="en-GB" sz="1100" baseline="0"/>
            <a:t> 2019</a:t>
          </a:r>
          <a:endParaRPr lang="en-GB" sz="1100"/>
        </a:p>
      </xdr:txBody>
    </xdr:sp>
    <xdr:clientData/>
  </xdr:twoCellAnchor>
  <xdr:twoCellAnchor editAs="oneCell">
    <xdr:from>
      <xdr:col>0</xdr:col>
      <xdr:colOff>0</xdr:colOff>
      <xdr:row>154</xdr:row>
      <xdr:rowOff>0</xdr:rowOff>
    </xdr:from>
    <xdr:to>
      <xdr:col>15</xdr:col>
      <xdr:colOff>266648</xdr:colOff>
      <xdr:row>188</xdr:row>
      <xdr:rowOff>26719</xdr:rowOff>
    </xdr:to>
    <xdr:pic>
      <xdr:nvPicPr>
        <xdr:cNvPr id="18" name="Picture 17">
          <a:extLst>
            <a:ext uri="{FF2B5EF4-FFF2-40B4-BE49-F238E27FC236}">
              <a16:creationId xmlns:a16="http://schemas.microsoft.com/office/drawing/2014/main" id="{08FB49A2-C2E3-F0A8-E16D-8BBEB60D942A}"/>
            </a:ext>
          </a:extLst>
        </xdr:cNvPr>
        <xdr:cNvPicPr>
          <a:picLocks noChangeAspect="1"/>
        </xdr:cNvPicPr>
      </xdr:nvPicPr>
      <xdr:blipFill>
        <a:blip xmlns:r="http://schemas.openxmlformats.org/officeDocument/2006/relationships" r:embed="rId9"/>
        <a:stretch>
          <a:fillRect/>
        </a:stretch>
      </xdr:blipFill>
      <xdr:spPr>
        <a:xfrm>
          <a:off x="0" y="27940000"/>
          <a:ext cx="9383434" cy="6201640"/>
        </a:xfrm>
        <a:prstGeom prst="rect">
          <a:avLst/>
        </a:prstGeom>
      </xdr:spPr>
    </xdr:pic>
    <xdr:clientData/>
  </xdr:twoCellAnchor>
  <xdr:twoCellAnchor editAs="oneCell">
    <xdr:from>
      <xdr:col>0</xdr:col>
      <xdr:colOff>18144</xdr:colOff>
      <xdr:row>187</xdr:row>
      <xdr:rowOff>163286</xdr:rowOff>
    </xdr:from>
    <xdr:to>
      <xdr:col>15</xdr:col>
      <xdr:colOff>341950</xdr:colOff>
      <xdr:row>217</xdr:row>
      <xdr:rowOff>140910</xdr:rowOff>
    </xdr:to>
    <xdr:pic>
      <xdr:nvPicPr>
        <xdr:cNvPr id="19" name="Picture 18">
          <a:extLst>
            <a:ext uri="{FF2B5EF4-FFF2-40B4-BE49-F238E27FC236}">
              <a16:creationId xmlns:a16="http://schemas.microsoft.com/office/drawing/2014/main" id="{8883BDF2-079B-04E9-5F4C-9502A78C9245}"/>
            </a:ext>
          </a:extLst>
        </xdr:cNvPr>
        <xdr:cNvPicPr>
          <a:picLocks noChangeAspect="1"/>
        </xdr:cNvPicPr>
      </xdr:nvPicPr>
      <xdr:blipFill>
        <a:blip xmlns:r="http://schemas.openxmlformats.org/officeDocument/2006/relationships" r:embed="rId10"/>
        <a:stretch>
          <a:fillRect/>
        </a:stretch>
      </xdr:blipFill>
      <xdr:spPr>
        <a:xfrm>
          <a:off x="18144" y="34090429"/>
          <a:ext cx="9440592" cy="5420481"/>
        </a:xfrm>
        <a:prstGeom prst="rect">
          <a:avLst/>
        </a:prstGeom>
      </xdr:spPr>
    </xdr:pic>
    <xdr:clientData/>
  </xdr:twoCellAnchor>
  <xdr:twoCellAnchor editAs="oneCell">
    <xdr:from>
      <xdr:col>0</xdr:col>
      <xdr:colOff>0</xdr:colOff>
      <xdr:row>220</xdr:row>
      <xdr:rowOff>0</xdr:rowOff>
    </xdr:from>
    <xdr:to>
      <xdr:col>19</xdr:col>
      <xdr:colOff>493450</xdr:colOff>
      <xdr:row>260</xdr:row>
      <xdr:rowOff>64180</xdr:rowOff>
    </xdr:to>
    <xdr:pic>
      <xdr:nvPicPr>
        <xdr:cNvPr id="21" name="Picture 20">
          <a:extLst>
            <a:ext uri="{FF2B5EF4-FFF2-40B4-BE49-F238E27FC236}">
              <a16:creationId xmlns:a16="http://schemas.microsoft.com/office/drawing/2014/main" id="{414B023F-4E7E-D0F8-286D-0B007A583DB6}"/>
            </a:ext>
          </a:extLst>
        </xdr:cNvPr>
        <xdr:cNvPicPr>
          <a:picLocks noChangeAspect="1"/>
        </xdr:cNvPicPr>
      </xdr:nvPicPr>
      <xdr:blipFill>
        <a:blip xmlns:r="http://schemas.openxmlformats.org/officeDocument/2006/relationships" r:embed="rId11"/>
        <a:stretch>
          <a:fillRect/>
        </a:stretch>
      </xdr:blipFill>
      <xdr:spPr>
        <a:xfrm>
          <a:off x="0" y="40357778"/>
          <a:ext cx="12022228" cy="7401958"/>
        </a:xfrm>
        <a:prstGeom prst="rect">
          <a:avLst/>
        </a:prstGeom>
      </xdr:spPr>
    </xdr:pic>
    <xdr:clientData/>
  </xdr:twoCellAnchor>
  <xdr:twoCellAnchor>
    <xdr:from>
      <xdr:col>0</xdr:col>
      <xdr:colOff>0</xdr:colOff>
      <xdr:row>218</xdr:row>
      <xdr:rowOff>63500</xdr:rowOff>
    </xdr:from>
    <xdr:to>
      <xdr:col>3</xdr:col>
      <xdr:colOff>352778</xdr:colOff>
      <xdr:row>220</xdr:row>
      <xdr:rowOff>1160</xdr:rowOff>
    </xdr:to>
    <xdr:sp macro="" textlink="">
      <xdr:nvSpPr>
        <xdr:cNvPr id="22" name="TextBox 21">
          <a:extLst>
            <a:ext uri="{FF2B5EF4-FFF2-40B4-BE49-F238E27FC236}">
              <a16:creationId xmlns:a16="http://schemas.microsoft.com/office/drawing/2014/main" id="{1952C994-91F6-4D6F-BDF4-3BAA716060E5}"/>
            </a:ext>
          </a:extLst>
        </xdr:cNvPr>
        <xdr:cNvSpPr txBox="1"/>
      </xdr:nvSpPr>
      <xdr:spPr>
        <a:xfrm>
          <a:off x="0" y="40054389"/>
          <a:ext cx="2173111" cy="304549"/>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Jiang</a:t>
          </a:r>
          <a:r>
            <a:rPr lang="en-GB" sz="1100" baseline="0"/>
            <a:t> 2015</a:t>
          </a:r>
          <a:endParaRPr lang="en-GB" sz="1100"/>
        </a:p>
      </xdr:txBody>
    </xdr:sp>
    <xdr:clientData/>
  </xdr:twoCellAnchor>
  <xdr:twoCellAnchor editAs="oneCell">
    <xdr:from>
      <xdr:col>0</xdr:col>
      <xdr:colOff>0</xdr:colOff>
      <xdr:row>261</xdr:row>
      <xdr:rowOff>0</xdr:rowOff>
    </xdr:from>
    <xdr:to>
      <xdr:col>12</xdr:col>
      <xdr:colOff>409223</xdr:colOff>
      <xdr:row>297</xdr:row>
      <xdr:rowOff>182739</xdr:rowOff>
    </xdr:to>
    <xdr:pic>
      <xdr:nvPicPr>
        <xdr:cNvPr id="16" name="Picture 15">
          <a:extLst>
            <a:ext uri="{FF2B5EF4-FFF2-40B4-BE49-F238E27FC236}">
              <a16:creationId xmlns:a16="http://schemas.microsoft.com/office/drawing/2014/main" id="{1E868E81-72D0-3565-FAC0-E37734B78777}"/>
            </a:ext>
          </a:extLst>
        </xdr:cNvPr>
        <xdr:cNvPicPr>
          <a:picLocks noChangeAspect="1"/>
        </xdr:cNvPicPr>
      </xdr:nvPicPr>
      <xdr:blipFill>
        <a:blip xmlns:r="http://schemas.openxmlformats.org/officeDocument/2006/relationships" r:embed="rId12"/>
        <a:stretch>
          <a:fillRect/>
        </a:stretch>
      </xdr:blipFill>
      <xdr:spPr>
        <a:xfrm>
          <a:off x="0" y="47879000"/>
          <a:ext cx="7690556" cy="6780389"/>
        </a:xfrm>
        <a:prstGeom prst="rect">
          <a:avLst/>
        </a:prstGeom>
      </xdr:spPr>
    </xdr:pic>
    <xdr:clientData/>
  </xdr:twoCellAnchor>
  <xdr:twoCellAnchor>
    <xdr:from>
      <xdr:col>0</xdr:col>
      <xdr:colOff>0</xdr:colOff>
      <xdr:row>261</xdr:row>
      <xdr:rowOff>0</xdr:rowOff>
    </xdr:from>
    <xdr:to>
      <xdr:col>3</xdr:col>
      <xdr:colOff>352778</xdr:colOff>
      <xdr:row>262</xdr:row>
      <xdr:rowOff>121105</xdr:rowOff>
    </xdr:to>
    <xdr:sp macro="" textlink="">
      <xdr:nvSpPr>
        <xdr:cNvPr id="17" name="TextBox 16">
          <a:extLst>
            <a:ext uri="{FF2B5EF4-FFF2-40B4-BE49-F238E27FC236}">
              <a16:creationId xmlns:a16="http://schemas.microsoft.com/office/drawing/2014/main" id="{B3800B35-5C47-48C5-85A9-5EFB923A3DD1}"/>
            </a:ext>
          </a:extLst>
        </xdr:cNvPr>
        <xdr:cNvSpPr txBox="1"/>
      </xdr:nvSpPr>
      <xdr:spPr>
        <a:xfrm>
          <a:off x="0" y="47879000"/>
          <a:ext cx="2173111" cy="304549"/>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NICE</a:t>
          </a:r>
          <a:r>
            <a:rPr lang="en-GB" sz="1100" baseline="0"/>
            <a:t> </a:t>
          </a:r>
          <a:r>
            <a:rPr lang="en-GB" sz="1100">
              <a:solidFill>
                <a:schemeClr val="dk1"/>
              </a:solidFill>
              <a:effectLst/>
              <a:latin typeface="+mn-lt"/>
              <a:ea typeface="+mn-ea"/>
              <a:cs typeface="+mn-cs"/>
            </a:rPr>
            <a:t>DG 59</a:t>
          </a:r>
          <a:endParaRPr lang="en-GB" sz="1100"/>
        </a:p>
      </xdr:txBody>
    </xdr:sp>
    <xdr:clientData/>
  </xdr:twoCellAnchor>
  <xdr:twoCellAnchor editAs="oneCell">
    <xdr:from>
      <xdr:col>0</xdr:col>
      <xdr:colOff>0</xdr:colOff>
      <xdr:row>328</xdr:row>
      <xdr:rowOff>0</xdr:rowOff>
    </xdr:from>
    <xdr:to>
      <xdr:col>14</xdr:col>
      <xdr:colOff>445750</xdr:colOff>
      <xdr:row>367</xdr:row>
      <xdr:rowOff>21400</xdr:rowOff>
    </xdr:to>
    <xdr:pic>
      <xdr:nvPicPr>
        <xdr:cNvPr id="23" name="Picture 22">
          <a:extLst>
            <a:ext uri="{FF2B5EF4-FFF2-40B4-BE49-F238E27FC236}">
              <a16:creationId xmlns:a16="http://schemas.microsoft.com/office/drawing/2014/main" id="{5D29CA8E-0DBF-6935-CB6E-07C1C85365F1}"/>
            </a:ext>
          </a:extLst>
        </xdr:cNvPr>
        <xdr:cNvPicPr>
          <a:picLocks noChangeAspect="1"/>
        </xdr:cNvPicPr>
      </xdr:nvPicPr>
      <xdr:blipFill>
        <a:blip xmlns:r="http://schemas.openxmlformats.org/officeDocument/2006/relationships" r:embed="rId13"/>
        <a:stretch>
          <a:fillRect/>
        </a:stretch>
      </xdr:blipFill>
      <xdr:spPr>
        <a:xfrm>
          <a:off x="0" y="54428571"/>
          <a:ext cx="8954750" cy="7097115"/>
        </a:xfrm>
        <a:prstGeom prst="rect">
          <a:avLst/>
        </a:prstGeom>
      </xdr:spPr>
    </xdr:pic>
    <xdr:clientData/>
  </xdr:twoCellAnchor>
  <xdr:twoCellAnchor>
    <xdr:from>
      <xdr:col>0</xdr:col>
      <xdr:colOff>0</xdr:colOff>
      <xdr:row>328</xdr:row>
      <xdr:rowOff>0</xdr:rowOff>
    </xdr:from>
    <xdr:to>
      <xdr:col>3</xdr:col>
      <xdr:colOff>352778</xdr:colOff>
      <xdr:row>329</xdr:row>
      <xdr:rowOff>121105</xdr:rowOff>
    </xdr:to>
    <xdr:sp macro="" textlink="">
      <xdr:nvSpPr>
        <xdr:cNvPr id="24" name="TextBox 23">
          <a:extLst>
            <a:ext uri="{FF2B5EF4-FFF2-40B4-BE49-F238E27FC236}">
              <a16:creationId xmlns:a16="http://schemas.microsoft.com/office/drawing/2014/main" id="{F131A49A-8786-4467-B191-A39EB4F17C21}"/>
            </a:ext>
          </a:extLst>
        </xdr:cNvPr>
        <xdr:cNvSpPr txBox="1"/>
      </xdr:nvSpPr>
      <xdr:spPr>
        <a:xfrm>
          <a:off x="0" y="54428571"/>
          <a:ext cx="2176135" cy="302534"/>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NICE -</a:t>
          </a:r>
          <a:r>
            <a:rPr lang="en-GB" sz="1100" baseline="0"/>
            <a:t> NG 185 </a:t>
          </a:r>
          <a:endParaRPr lang="en-GB" sz="1100"/>
        </a:p>
      </xdr:txBody>
    </xdr:sp>
    <xdr:clientData/>
  </xdr:twoCellAnchor>
  <xdr:twoCellAnchor editAs="oneCell">
    <xdr:from>
      <xdr:col>14</xdr:col>
      <xdr:colOff>272143</xdr:colOff>
      <xdr:row>329</xdr:row>
      <xdr:rowOff>117929</xdr:rowOff>
    </xdr:from>
    <xdr:to>
      <xdr:col>29</xdr:col>
      <xdr:colOff>468931</xdr:colOff>
      <xdr:row>366</xdr:row>
      <xdr:rowOff>83029</xdr:rowOff>
    </xdr:to>
    <xdr:pic>
      <xdr:nvPicPr>
        <xdr:cNvPr id="25" name="Picture 24">
          <a:extLst>
            <a:ext uri="{FF2B5EF4-FFF2-40B4-BE49-F238E27FC236}">
              <a16:creationId xmlns:a16="http://schemas.microsoft.com/office/drawing/2014/main" id="{70EC8700-55F9-3786-9776-1E0AAF716E2B}"/>
            </a:ext>
          </a:extLst>
        </xdr:cNvPr>
        <xdr:cNvPicPr>
          <a:picLocks noChangeAspect="1"/>
        </xdr:cNvPicPr>
      </xdr:nvPicPr>
      <xdr:blipFill>
        <a:blip xmlns:r="http://schemas.openxmlformats.org/officeDocument/2006/relationships" r:embed="rId14"/>
        <a:stretch>
          <a:fillRect/>
        </a:stretch>
      </xdr:blipFill>
      <xdr:spPr>
        <a:xfrm>
          <a:off x="8781143" y="54727929"/>
          <a:ext cx="9307224" cy="6677957"/>
        </a:xfrm>
        <a:prstGeom prst="rect">
          <a:avLst/>
        </a:prstGeom>
      </xdr:spPr>
    </xdr:pic>
    <xdr:clientData/>
  </xdr:twoCellAnchor>
  <xdr:twoCellAnchor>
    <xdr:from>
      <xdr:col>0</xdr:col>
      <xdr:colOff>15240</xdr:colOff>
      <xdr:row>368</xdr:row>
      <xdr:rowOff>0</xdr:rowOff>
    </xdr:from>
    <xdr:to>
      <xdr:col>2</xdr:col>
      <xdr:colOff>5644</xdr:colOff>
      <xdr:row>369</xdr:row>
      <xdr:rowOff>92145</xdr:rowOff>
    </xdr:to>
    <xdr:sp macro="" textlink="">
      <xdr:nvSpPr>
        <xdr:cNvPr id="20" name="TextBox 19">
          <a:extLst>
            <a:ext uri="{FF2B5EF4-FFF2-40B4-BE49-F238E27FC236}">
              <a16:creationId xmlns:a16="http://schemas.microsoft.com/office/drawing/2014/main" id="{78B8C638-A3CC-447B-B4F2-89F1D60CC1B0}"/>
            </a:ext>
          </a:extLst>
        </xdr:cNvPr>
        <xdr:cNvSpPr txBox="1"/>
      </xdr:nvSpPr>
      <xdr:spPr>
        <a:xfrm>
          <a:off x="15240" y="62371111"/>
          <a:ext cx="120396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Jiang</a:t>
          </a:r>
          <a:r>
            <a:rPr lang="en-GB" sz="1100" kern="1200" baseline="0"/>
            <a:t> 2016</a:t>
          </a:r>
          <a:endParaRPr lang="en-GB" sz="1100" kern="1200"/>
        </a:p>
      </xdr:txBody>
    </xdr:sp>
    <xdr:clientData/>
  </xdr:twoCellAnchor>
  <xdr:twoCellAnchor editAs="oneCell">
    <xdr:from>
      <xdr:col>0</xdr:col>
      <xdr:colOff>0</xdr:colOff>
      <xdr:row>369</xdr:row>
      <xdr:rowOff>96031</xdr:rowOff>
    </xdr:from>
    <xdr:to>
      <xdr:col>13</xdr:col>
      <xdr:colOff>465200</xdr:colOff>
      <xdr:row>397</xdr:row>
      <xdr:rowOff>150524</xdr:rowOff>
    </xdr:to>
    <xdr:pic>
      <xdr:nvPicPr>
        <xdr:cNvPr id="26" name="Picture 25">
          <a:extLst>
            <a:ext uri="{FF2B5EF4-FFF2-40B4-BE49-F238E27FC236}">
              <a16:creationId xmlns:a16="http://schemas.microsoft.com/office/drawing/2014/main" id="{E0AF6F95-EEEA-4848-848A-CD8CCD14FB17}"/>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rot="5400000">
          <a:off x="1584363" y="61066224"/>
          <a:ext cx="5190936" cy="8359661"/>
        </a:xfrm>
        <a:prstGeom prst="rect">
          <a:avLst/>
        </a:prstGeom>
      </xdr:spPr>
    </xdr:pic>
    <xdr:clientData/>
  </xdr:twoCellAnchor>
  <xdr:twoCellAnchor>
    <xdr:from>
      <xdr:col>0</xdr:col>
      <xdr:colOff>0</xdr:colOff>
      <xdr:row>398</xdr:row>
      <xdr:rowOff>167217</xdr:rowOff>
    </xdr:from>
    <xdr:to>
      <xdr:col>1</xdr:col>
      <xdr:colOff>593372</xdr:colOff>
      <xdr:row>400</xdr:row>
      <xdr:rowOff>79728</xdr:rowOff>
    </xdr:to>
    <xdr:sp macro="" textlink="">
      <xdr:nvSpPr>
        <xdr:cNvPr id="27" name="TextBox 26">
          <a:extLst>
            <a:ext uri="{FF2B5EF4-FFF2-40B4-BE49-F238E27FC236}">
              <a16:creationId xmlns:a16="http://schemas.microsoft.com/office/drawing/2014/main" id="{F2956A57-C510-4B70-AE4E-3EC1692D8F54}"/>
            </a:ext>
          </a:extLst>
        </xdr:cNvPr>
        <xdr:cNvSpPr txBox="1"/>
      </xdr:nvSpPr>
      <xdr:spPr>
        <a:xfrm>
          <a:off x="0" y="6804166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Limbdi</a:t>
          </a:r>
          <a:r>
            <a:rPr lang="en-GB" sz="1100" kern="1200" baseline="0"/>
            <a:t> 2020</a:t>
          </a:r>
          <a:endParaRPr lang="en-GB" sz="1100" kern="1200"/>
        </a:p>
      </xdr:txBody>
    </xdr:sp>
    <xdr:clientData/>
  </xdr:twoCellAnchor>
  <xdr:twoCellAnchor editAs="oneCell">
    <xdr:from>
      <xdr:col>0</xdr:col>
      <xdr:colOff>0</xdr:colOff>
      <xdr:row>400</xdr:row>
      <xdr:rowOff>168628</xdr:rowOff>
    </xdr:from>
    <xdr:to>
      <xdr:col>15</xdr:col>
      <xdr:colOff>98376</xdr:colOff>
      <xdr:row>420</xdr:row>
      <xdr:rowOff>57948</xdr:rowOff>
    </xdr:to>
    <xdr:pic>
      <xdr:nvPicPr>
        <xdr:cNvPr id="28" name="Picture 27">
          <a:extLst>
            <a:ext uri="{FF2B5EF4-FFF2-40B4-BE49-F238E27FC236}">
              <a16:creationId xmlns:a16="http://schemas.microsoft.com/office/drawing/2014/main" id="{94090C09-96CD-4009-851E-89DF92B8ABD4}"/>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0" y="68409961"/>
          <a:ext cx="9200043" cy="3558209"/>
        </a:xfrm>
        <a:prstGeom prst="rect">
          <a:avLst/>
        </a:prstGeom>
      </xdr:spPr>
    </xdr:pic>
    <xdr:clientData/>
  </xdr:twoCellAnchor>
  <xdr:twoCellAnchor>
    <xdr:from>
      <xdr:col>0</xdr:col>
      <xdr:colOff>0</xdr:colOff>
      <xdr:row>424</xdr:row>
      <xdr:rowOff>1411</xdr:rowOff>
    </xdr:from>
    <xdr:to>
      <xdr:col>1</xdr:col>
      <xdr:colOff>589562</xdr:colOff>
      <xdr:row>425</xdr:row>
      <xdr:rowOff>93557</xdr:rowOff>
    </xdr:to>
    <xdr:sp macro="" textlink="">
      <xdr:nvSpPr>
        <xdr:cNvPr id="29" name="TextBox 28">
          <a:extLst>
            <a:ext uri="{FF2B5EF4-FFF2-40B4-BE49-F238E27FC236}">
              <a16:creationId xmlns:a16="http://schemas.microsoft.com/office/drawing/2014/main" id="{DC01CD20-5C5F-43FC-B87C-F0990978B8D4}"/>
            </a:ext>
          </a:extLst>
        </xdr:cNvPr>
        <xdr:cNvSpPr txBox="1"/>
      </xdr:nvSpPr>
      <xdr:spPr>
        <a:xfrm>
          <a:off x="0" y="72645411"/>
          <a:ext cx="119634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Jiang</a:t>
          </a:r>
          <a:r>
            <a:rPr lang="en-GB" sz="1100" kern="1200" baseline="0"/>
            <a:t> 2017</a:t>
          </a:r>
          <a:endParaRPr lang="en-GB" sz="1100" kern="1200"/>
        </a:p>
      </xdr:txBody>
    </xdr:sp>
    <xdr:clientData/>
  </xdr:twoCellAnchor>
  <xdr:twoCellAnchor editAs="oneCell">
    <xdr:from>
      <xdr:col>0</xdr:col>
      <xdr:colOff>0</xdr:colOff>
      <xdr:row>426</xdr:row>
      <xdr:rowOff>2822</xdr:rowOff>
    </xdr:from>
    <xdr:to>
      <xdr:col>8</xdr:col>
      <xdr:colOff>533584</xdr:colOff>
      <xdr:row>457</xdr:row>
      <xdr:rowOff>67728</xdr:rowOff>
    </xdr:to>
    <xdr:pic>
      <xdr:nvPicPr>
        <xdr:cNvPr id="30" name="Picture 29">
          <a:extLst>
            <a:ext uri="{FF2B5EF4-FFF2-40B4-BE49-F238E27FC236}">
              <a16:creationId xmlns:a16="http://schemas.microsoft.com/office/drawing/2014/main" id="{B8C57421-DE9D-4851-8570-A992F6680074}"/>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73013711"/>
          <a:ext cx="5387806" cy="5745334"/>
        </a:xfrm>
        <a:prstGeom prst="rect">
          <a:avLst/>
        </a:prstGeom>
      </xdr:spPr>
    </xdr:pic>
    <xdr:clientData/>
  </xdr:twoCellAnchor>
  <xdr:twoCellAnchor>
    <xdr:from>
      <xdr:col>0</xdr:col>
      <xdr:colOff>0</xdr:colOff>
      <xdr:row>459</xdr:row>
      <xdr:rowOff>26105</xdr:rowOff>
    </xdr:from>
    <xdr:to>
      <xdr:col>1</xdr:col>
      <xdr:colOff>593372</xdr:colOff>
      <xdr:row>460</xdr:row>
      <xdr:rowOff>122061</xdr:rowOff>
    </xdr:to>
    <xdr:sp macro="" textlink="">
      <xdr:nvSpPr>
        <xdr:cNvPr id="31" name="TextBox 30">
          <a:extLst>
            <a:ext uri="{FF2B5EF4-FFF2-40B4-BE49-F238E27FC236}">
              <a16:creationId xmlns:a16="http://schemas.microsoft.com/office/drawing/2014/main" id="{30E71559-0D01-4711-9CC8-8F490320C6CE}"/>
            </a:ext>
          </a:extLst>
        </xdr:cNvPr>
        <xdr:cNvSpPr txBox="1"/>
      </xdr:nvSpPr>
      <xdr:spPr>
        <a:xfrm>
          <a:off x="0" y="7909066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Kazi</a:t>
          </a:r>
          <a:r>
            <a:rPr lang="en-GB" sz="1100" kern="1200" baseline="0"/>
            <a:t> 2014</a:t>
          </a:r>
          <a:endParaRPr lang="en-GB" sz="1100" kern="1200"/>
        </a:p>
      </xdr:txBody>
    </xdr:sp>
    <xdr:clientData/>
  </xdr:twoCellAnchor>
  <xdr:twoCellAnchor editAs="oneCell">
    <xdr:from>
      <xdr:col>0</xdr:col>
      <xdr:colOff>0</xdr:colOff>
      <xdr:row>461</xdr:row>
      <xdr:rowOff>27517</xdr:rowOff>
    </xdr:from>
    <xdr:to>
      <xdr:col>15</xdr:col>
      <xdr:colOff>403203</xdr:colOff>
      <xdr:row>495</xdr:row>
      <xdr:rowOff>22191</xdr:rowOff>
    </xdr:to>
    <xdr:pic>
      <xdr:nvPicPr>
        <xdr:cNvPr id="32" name="Picture 31">
          <a:extLst>
            <a:ext uri="{FF2B5EF4-FFF2-40B4-BE49-F238E27FC236}">
              <a16:creationId xmlns:a16="http://schemas.microsoft.com/office/drawing/2014/main" id="{A7D86B3C-E446-42A6-B5E2-831AD75E0FA4}"/>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0" y="79458961"/>
          <a:ext cx="9504870" cy="6231786"/>
        </a:xfrm>
        <a:prstGeom prst="rect">
          <a:avLst/>
        </a:prstGeom>
      </xdr:spPr>
    </xdr:pic>
    <xdr:clientData/>
  </xdr:twoCellAnchor>
  <xdr:twoCellAnchor>
    <xdr:from>
      <xdr:col>0</xdr:col>
      <xdr:colOff>0</xdr:colOff>
      <xdr:row>496</xdr:row>
      <xdr:rowOff>52211</xdr:rowOff>
    </xdr:from>
    <xdr:to>
      <xdr:col>1</xdr:col>
      <xdr:colOff>589562</xdr:colOff>
      <xdr:row>497</xdr:row>
      <xdr:rowOff>144357</xdr:rowOff>
    </xdr:to>
    <xdr:sp macro="" textlink="">
      <xdr:nvSpPr>
        <xdr:cNvPr id="33" name="TextBox 32">
          <a:extLst>
            <a:ext uri="{FF2B5EF4-FFF2-40B4-BE49-F238E27FC236}">
              <a16:creationId xmlns:a16="http://schemas.microsoft.com/office/drawing/2014/main" id="{398582AF-CA04-4A85-8E08-3EB64AE5A2E3}"/>
            </a:ext>
          </a:extLst>
        </xdr:cNvPr>
        <xdr:cNvSpPr txBox="1"/>
      </xdr:nvSpPr>
      <xdr:spPr>
        <a:xfrm>
          <a:off x="0" y="85904211"/>
          <a:ext cx="119634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Kim 2021</a:t>
          </a:r>
        </a:p>
      </xdr:txBody>
    </xdr:sp>
    <xdr:clientData/>
  </xdr:twoCellAnchor>
  <xdr:twoCellAnchor editAs="oneCell">
    <xdr:from>
      <xdr:col>0</xdr:col>
      <xdr:colOff>0</xdr:colOff>
      <xdr:row>498</xdr:row>
      <xdr:rowOff>53622</xdr:rowOff>
    </xdr:from>
    <xdr:to>
      <xdr:col>14</xdr:col>
      <xdr:colOff>371616</xdr:colOff>
      <xdr:row>511</xdr:row>
      <xdr:rowOff>121319</xdr:rowOff>
    </xdr:to>
    <xdr:pic>
      <xdr:nvPicPr>
        <xdr:cNvPr id="34" name="Picture 33">
          <a:extLst>
            <a:ext uri="{FF2B5EF4-FFF2-40B4-BE49-F238E27FC236}">
              <a16:creationId xmlns:a16="http://schemas.microsoft.com/office/drawing/2014/main" id="{D2AED02E-68C3-488F-8CE9-0F1556A413AD}"/>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86272511"/>
          <a:ext cx="8860155" cy="2452476"/>
        </a:xfrm>
        <a:prstGeom prst="rect">
          <a:avLst/>
        </a:prstGeom>
      </xdr:spPr>
    </xdr:pic>
    <xdr:clientData/>
  </xdr:twoCellAnchor>
  <xdr:twoCellAnchor>
    <xdr:from>
      <xdr:col>0</xdr:col>
      <xdr:colOff>0</xdr:colOff>
      <xdr:row>514</xdr:row>
      <xdr:rowOff>64911</xdr:rowOff>
    </xdr:from>
    <xdr:to>
      <xdr:col>1</xdr:col>
      <xdr:colOff>593372</xdr:colOff>
      <xdr:row>515</xdr:row>
      <xdr:rowOff>160867</xdr:rowOff>
    </xdr:to>
    <xdr:sp macro="" textlink="">
      <xdr:nvSpPr>
        <xdr:cNvPr id="35" name="TextBox 34">
          <a:extLst>
            <a:ext uri="{FF2B5EF4-FFF2-40B4-BE49-F238E27FC236}">
              <a16:creationId xmlns:a16="http://schemas.microsoft.com/office/drawing/2014/main" id="{DEEC4E04-7B3D-43B3-AC64-9256F0C6FA76}"/>
            </a:ext>
          </a:extLst>
        </xdr:cNvPr>
        <xdr:cNvSpPr txBox="1"/>
      </xdr:nvSpPr>
      <xdr:spPr>
        <a:xfrm>
          <a:off x="0" y="8921891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Kim 2019</a:t>
          </a:r>
        </a:p>
      </xdr:txBody>
    </xdr:sp>
    <xdr:clientData/>
  </xdr:twoCellAnchor>
  <xdr:twoCellAnchor editAs="oneCell">
    <xdr:from>
      <xdr:col>0</xdr:col>
      <xdr:colOff>0</xdr:colOff>
      <xdr:row>516</xdr:row>
      <xdr:rowOff>66322</xdr:rowOff>
    </xdr:from>
    <xdr:to>
      <xdr:col>16</xdr:col>
      <xdr:colOff>114587</xdr:colOff>
      <xdr:row>540</xdr:row>
      <xdr:rowOff>152218</xdr:rowOff>
    </xdr:to>
    <xdr:pic>
      <xdr:nvPicPr>
        <xdr:cNvPr id="36" name="Picture 35">
          <a:extLst>
            <a:ext uri="{FF2B5EF4-FFF2-40B4-BE49-F238E27FC236}">
              <a16:creationId xmlns:a16="http://schemas.microsoft.com/office/drawing/2014/main" id="{1976A807-43A9-4FAD-8FE1-714F19F9BC69}"/>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0" y="89587211"/>
          <a:ext cx="9823031" cy="4488562"/>
        </a:xfrm>
        <a:prstGeom prst="rect">
          <a:avLst/>
        </a:prstGeom>
      </xdr:spPr>
    </xdr:pic>
    <xdr:clientData/>
  </xdr:twoCellAnchor>
  <xdr:twoCellAnchor>
    <xdr:from>
      <xdr:col>0</xdr:col>
      <xdr:colOff>0</xdr:colOff>
      <xdr:row>543</xdr:row>
      <xdr:rowOff>85372</xdr:rowOff>
    </xdr:from>
    <xdr:to>
      <xdr:col>1</xdr:col>
      <xdr:colOff>593372</xdr:colOff>
      <xdr:row>544</xdr:row>
      <xdr:rowOff>181328</xdr:rowOff>
    </xdr:to>
    <xdr:sp macro="" textlink="">
      <xdr:nvSpPr>
        <xdr:cNvPr id="37" name="TextBox 36">
          <a:extLst>
            <a:ext uri="{FF2B5EF4-FFF2-40B4-BE49-F238E27FC236}">
              <a16:creationId xmlns:a16="http://schemas.microsoft.com/office/drawing/2014/main" id="{FCA0D0B7-2C4E-42EC-91F9-D0299817E174}"/>
            </a:ext>
          </a:extLst>
        </xdr:cNvPr>
        <xdr:cNvSpPr txBox="1"/>
      </xdr:nvSpPr>
      <xdr:spPr>
        <a:xfrm>
          <a:off x="0" y="94559261"/>
          <a:ext cx="1200150" cy="279400"/>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Patel 2014</a:t>
          </a:r>
        </a:p>
      </xdr:txBody>
    </xdr:sp>
    <xdr:clientData/>
  </xdr:twoCellAnchor>
  <xdr:twoCellAnchor editAs="oneCell">
    <xdr:from>
      <xdr:col>0</xdr:col>
      <xdr:colOff>0</xdr:colOff>
      <xdr:row>545</xdr:row>
      <xdr:rowOff>83607</xdr:rowOff>
    </xdr:from>
    <xdr:to>
      <xdr:col>14</xdr:col>
      <xdr:colOff>344311</xdr:colOff>
      <xdr:row>583</xdr:row>
      <xdr:rowOff>47825</xdr:rowOff>
    </xdr:to>
    <xdr:pic>
      <xdr:nvPicPr>
        <xdr:cNvPr id="38" name="Picture 37">
          <a:extLst>
            <a:ext uri="{FF2B5EF4-FFF2-40B4-BE49-F238E27FC236}">
              <a16:creationId xmlns:a16="http://schemas.microsoft.com/office/drawing/2014/main" id="{81B7D452-919A-4B73-89C5-89DBD2ABF5AD}"/>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94924385"/>
          <a:ext cx="8839200" cy="6935107"/>
        </a:xfrm>
        <a:prstGeom prst="rect">
          <a:avLst/>
        </a:prstGeom>
      </xdr:spPr>
    </xdr:pic>
    <xdr:clientData/>
  </xdr:twoCellAnchor>
  <xdr:twoCellAnchor>
    <xdr:from>
      <xdr:col>0</xdr:col>
      <xdr:colOff>0</xdr:colOff>
      <xdr:row>585</xdr:row>
      <xdr:rowOff>115005</xdr:rowOff>
    </xdr:from>
    <xdr:to>
      <xdr:col>1</xdr:col>
      <xdr:colOff>589562</xdr:colOff>
      <xdr:row>587</xdr:row>
      <xdr:rowOff>23707</xdr:rowOff>
    </xdr:to>
    <xdr:sp macro="" textlink="">
      <xdr:nvSpPr>
        <xdr:cNvPr id="39" name="TextBox 38">
          <a:extLst>
            <a:ext uri="{FF2B5EF4-FFF2-40B4-BE49-F238E27FC236}">
              <a16:creationId xmlns:a16="http://schemas.microsoft.com/office/drawing/2014/main" id="{0F7C4A7A-BD8F-4458-BB37-A324F609C864}"/>
            </a:ext>
          </a:extLst>
        </xdr:cNvPr>
        <xdr:cNvSpPr txBox="1"/>
      </xdr:nvSpPr>
      <xdr:spPr>
        <a:xfrm>
          <a:off x="0" y="102293561"/>
          <a:ext cx="1196340" cy="275590"/>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Wang 2018</a:t>
          </a:r>
        </a:p>
      </xdr:txBody>
    </xdr:sp>
    <xdr:clientData/>
  </xdr:twoCellAnchor>
  <xdr:twoCellAnchor editAs="oneCell">
    <xdr:from>
      <xdr:col>1</xdr:col>
      <xdr:colOff>2822</xdr:colOff>
      <xdr:row>588</xdr:row>
      <xdr:rowOff>117122</xdr:rowOff>
    </xdr:from>
    <xdr:to>
      <xdr:col>15</xdr:col>
      <xdr:colOff>340278</xdr:colOff>
      <xdr:row>620</xdr:row>
      <xdr:rowOff>141472</xdr:rowOff>
    </xdr:to>
    <xdr:pic>
      <xdr:nvPicPr>
        <xdr:cNvPr id="40" name="Picture 39">
          <a:extLst>
            <a:ext uri="{FF2B5EF4-FFF2-40B4-BE49-F238E27FC236}">
              <a16:creationId xmlns:a16="http://schemas.microsoft.com/office/drawing/2014/main" id="{1FF83489-1D45-4983-B0D1-3C1A2557477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09600" y="102846011"/>
          <a:ext cx="8832345" cy="5900923"/>
        </a:xfrm>
        <a:prstGeom prst="rect">
          <a:avLst/>
        </a:prstGeom>
      </xdr:spPr>
    </xdr:pic>
    <xdr:clientData/>
  </xdr:twoCellAnchor>
  <xdr:twoCellAnchor editAs="oneCell">
    <xdr:from>
      <xdr:col>17</xdr:col>
      <xdr:colOff>464214</xdr:colOff>
      <xdr:row>592</xdr:row>
      <xdr:rowOff>119944</xdr:rowOff>
    </xdr:from>
    <xdr:to>
      <xdr:col>29</xdr:col>
      <xdr:colOff>295012</xdr:colOff>
      <xdr:row>614</xdr:row>
      <xdr:rowOff>113241</xdr:rowOff>
    </xdr:to>
    <xdr:pic>
      <xdr:nvPicPr>
        <xdr:cNvPr id="41" name="Picture 40">
          <a:extLst>
            <a:ext uri="{FF2B5EF4-FFF2-40B4-BE49-F238E27FC236}">
              <a16:creationId xmlns:a16="http://schemas.microsoft.com/office/drawing/2014/main" id="{D89DBD55-CDD4-4918-B47C-6E06DFE945ED}"/>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779436" y="103582611"/>
          <a:ext cx="7118482" cy="4029075"/>
        </a:xfrm>
        <a:prstGeom prst="rect">
          <a:avLst/>
        </a:prstGeom>
      </xdr:spPr>
    </xdr:pic>
    <xdr:clientData/>
  </xdr:twoCellAnchor>
  <xdr:twoCellAnchor editAs="oneCell">
    <xdr:from>
      <xdr:col>0</xdr:col>
      <xdr:colOff>0</xdr:colOff>
      <xdr:row>624</xdr:row>
      <xdr:rowOff>0</xdr:rowOff>
    </xdr:from>
    <xdr:to>
      <xdr:col>16</xdr:col>
      <xdr:colOff>468809</xdr:colOff>
      <xdr:row>651</xdr:row>
      <xdr:rowOff>178428</xdr:rowOff>
    </xdr:to>
    <xdr:pic>
      <xdr:nvPicPr>
        <xdr:cNvPr id="42" name="Picture 41">
          <a:extLst>
            <a:ext uri="{FF2B5EF4-FFF2-40B4-BE49-F238E27FC236}">
              <a16:creationId xmlns:a16="http://schemas.microsoft.com/office/drawing/2014/main" id="{C9BB5B89-5ED1-4F9B-B94B-87D168B62E0D}"/>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0" y="111125000"/>
          <a:ext cx="10263871" cy="5221075"/>
        </a:xfrm>
        <a:prstGeom prst="rect">
          <a:avLst/>
        </a:prstGeom>
      </xdr:spPr>
    </xdr:pic>
    <xdr:clientData/>
  </xdr:twoCellAnchor>
  <xdr:twoCellAnchor>
    <xdr:from>
      <xdr:col>0</xdr:col>
      <xdr:colOff>0</xdr:colOff>
      <xdr:row>622</xdr:row>
      <xdr:rowOff>0</xdr:rowOff>
    </xdr:from>
    <xdr:to>
      <xdr:col>1</xdr:col>
      <xdr:colOff>589562</xdr:colOff>
      <xdr:row>623</xdr:row>
      <xdr:rowOff>95467</xdr:rowOff>
    </xdr:to>
    <xdr:sp macro="" textlink="">
      <xdr:nvSpPr>
        <xdr:cNvPr id="43" name="TextBox 42">
          <a:extLst>
            <a:ext uri="{FF2B5EF4-FFF2-40B4-BE49-F238E27FC236}">
              <a16:creationId xmlns:a16="http://schemas.microsoft.com/office/drawing/2014/main" id="{8DA954F4-1543-47DD-A299-B49154FF83B5}"/>
            </a:ext>
          </a:extLst>
        </xdr:cNvPr>
        <xdr:cNvSpPr txBox="1"/>
      </xdr:nvSpPr>
      <xdr:spPr>
        <a:xfrm>
          <a:off x="0" y="110938235"/>
          <a:ext cx="1202150" cy="282232"/>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Dong 2020</a:t>
          </a:r>
        </a:p>
      </xdr:txBody>
    </xdr:sp>
    <xdr:clientData/>
  </xdr:twoCellAnchor>
  <xdr:twoCellAnchor editAs="oneCell">
    <xdr:from>
      <xdr:col>0</xdr:col>
      <xdr:colOff>511954</xdr:colOff>
      <xdr:row>298</xdr:row>
      <xdr:rowOff>35704</xdr:rowOff>
    </xdr:from>
    <xdr:to>
      <xdr:col>14</xdr:col>
      <xdr:colOff>255938</xdr:colOff>
      <xdr:row>324</xdr:row>
      <xdr:rowOff>145792</xdr:rowOff>
    </xdr:to>
    <xdr:pic>
      <xdr:nvPicPr>
        <xdr:cNvPr id="45" name="Picture 44">
          <a:extLst>
            <a:ext uri="{FF2B5EF4-FFF2-40B4-BE49-F238E27FC236}">
              <a16:creationId xmlns:a16="http://schemas.microsoft.com/office/drawing/2014/main" id="{E5FBC877-15FD-37C5-01E3-C04AF28CAE41}"/>
            </a:ext>
          </a:extLst>
        </xdr:cNvPr>
        <xdr:cNvPicPr>
          <a:picLocks noChangeAspect="1"/>
        </xdr:cNvPicPr>
      </xdr:nvPicPr>
      <xdr:blipFill>
        <a:blip xmlns:r="http://schemas.openxmlformats.org/officeDocument/2006/relationships" r:embed="rId25"/>
        <a:stretch>
          <a:fillRect/>
        </a:stretch>
      </xdr:blipFill>
      <xdr:spPr>
        <a:xfrm>
          <a:off x="511954" y="55066877"/>
          <a:ext cx="8316484" cy="491146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14</xdr:col>
      <xdr:colOff>299764</xdr:colOff>
      <xdr:row>12</xdr:row>
      <xdr:rowOff>28249</xdr:rowOff>
    </xdr:from>
    <xdr:to>
      <xdr:col>14</xdr:col>
      <xdr:colOff>585514</xdr:colOff>
      <xdr:row>12</xdr:row>
      <xdr:rowOff>28249</xdr:rowOff>
    </xdr:to>
    <xdr:cxnSp macro="">
      <xdr:nvCxnSpPr>
        <xdr:cNvPr id="5" name="Straight Connector 13">
          <a:extLst>
            <a:ext uri="{FF2B5EF4-FFF2-40B4-BE49-F238E27FC236}">
              <a16:creationId xmlns:a16="http://schemas.microsoft.com/office/drawing/2014/main" id="{02823512-7133-4678-82E2-165E2EEE34C4}"/>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598433</xdr:colOff>
      <xdr:row>9</xdr:row>
      <xdr:rowOff>41190</xdr:rowOff>
    </xdr:from>
    <xdr:to>
      <xdr:col>14</xdr:col>
      <xdr:colOff>600918</xdr:colOff>
      <xdr:row>14</xdr:row>
      <xdr:rowOff>179785</xdr:rowOff>
    </xdr:to>
    <xdr:cxnSp macro="">
      <xdr:nvCxnSpPr>
        <xdr:cNvPr id="8" name="Straight Connector 7">
          <a:extLst>
            <a:ext uri="{FF2B5EF4-FFF2-40B4-BE49-F238E27FC236}">
              <a16:creationId xmlns:a16="http://schemas.microsoft.com/office/drawing/2014/main" id="{FECF0132-C8C7-4ECB-958C-02121C4F7301}"/>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595398</xdr:colOff>
      <xdr:row>9</xdr:row>
      <xdr:rowOff>57935</xdr:rowOff>
    </xdr:from>
    <xdr:to>
      <xdr:col>15</xdr:col>
      <xdr:colOff>186788</xdr:colOff>
      <xdr:row>9</xdr:row>
      <xdr:rowOff>57935</xdr:rowOff>
    </xdr:to>
    <xdr:cxnSp macro="">
      <xdr:nvCxnSpPr>
        <xdr:cNvPr id="9" name="Straight Connector 8">
          <a:extLst>
            <a:ext uri="{FF2B5EF4-FFF2-40B4-BE49-F238E27FC236}">
              <a16:creationId xmlns:a16="http://schemas.microsoft.com/office/drawing/2014/main" id="{BE6D85D2-18B8-4EA8-B512-8C0CD1000AD9}"/>
            </a:ext>
          </a:extLst>
        </xdr:cNvPr>
        <xdr:cNvCxnSpPr/>
      </xdr:nvCxnSpPr>
      <xdr:spPr>
        <a:xfrm>
          <a:off x="5475827" y="1690792"/>
          <a:ext cx="199175"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596502</xdr:colOff>
      <xdr:row>14</xdr:row>
      <xdr:rowOff>173417</xdr:rowOff>
    </xdr:from>
    <xdr:to>
      <xdr:col>15</xdr:col>
      <xdr:colOff>187892</xdr:colOff>
      <xdr:row>14</xdr:row>
      <xdr:rowOff>173417</xdr:rowOff>
    </xdr:to>
    <xdr:cxnSp macro="">
      <xdr:nvCxnSpPr>
        <xdr:cNvPr id="10" name="Straight Connector 9">
          <a:extLst>
            <a:ext uri="{FF2B5EF4-FFF2-40B4-BE49-F238E27FC236}">
              <a16:creationId xmlns:a16="http://schemas.microsoft.com/office/drawing/2014/main" id="{6BDD4BCE-C211-4D29-AD5E-C31F92BB0F8A}"/>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247503</xdr:colOff>
      <xdr:row>8</xdr:row>
      <xdr:rowOff>27284</xdr:rowOff>
    </xdr:from>
    <xdr:to>
      <xdr:col>32</xdr:col>
      <xdr:colOff>230937</xdr:colOff>
      <xdr:row>11</xdr:row>
      <xdr:rowOff>10720</xdr:rowOff>
    </xdr:to>
    <xdr:sp macro="" textlink="">
      <xdr:nvSpPr>
        <xdr:cNvPr id="18" name="Oval 17">
          <a:extLst>
            <a:ext uri="{FF2B5EF4-FFF2-40B4-BE49-F238E27FC236}">
              <a16:creationId xmlns:a16="http://schemas.microsoft.com/office/drawing/2014/main" id="{43248D9C-6C8C-440A-9B18-E4DB9B285C87}"/>
            </a:ext>
          </a:extLst>
        </xdr:cNvPr>
        <xdr:cNvSpPr/>
      </xdr:nvSpPr>
      <xdr:spPr>
        <a:xfrm>
          <a:off x="12579203" y="1132184"/>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GB" sz="900">
              <a:solidFill>
                <a:sysClr val="windowText" lastClr="000000"/>
              </a:solidFill>
            </a:rPr>
            <a:t>no-event / post-bleeding</a:t>
          </a:r>
        </a:p>
      </xdr:txBody>
    </xdr:sp>
    <xdr:clientData/>
  </xdr:twoCellAnchor>
  <xdr:twoCellAnchor>
    <xdr:from>
      <xdr:col>30</xdr:col>
      <xdr:colOff>322275</xdr:colOff>
      <xdr:row>25</xdr:row>
      <xdr:rowOff>25400</xdr:rowOff>
    </xdr:from>
    <xdr:to>
      <xdr:col>32</xdr:col>
      <xdr:colOff>305709</xdr:colOff>
      <xdr:row>28</xdr:row>
      <xdr:rowOff>8836</xdr:rowOff>
    </xdr:to>
    <xdr:sp macro="" textlink="">
      <xdr:nvSpPr>
        <xdr:cNvPr id="19" name="Oval 18">
          <a:extLst>
            <a:ext uri="{FF2B5EF4-FFF2-40B4-BE49-F238E27FC236}">
              <a16:creationId xmlns:a16="http://schemas.microsoft.com/office/drawing/2014/main" id="{6A89E056-5305-443E-BFB2-13252A431EB8}"/>
            </a:ext>
          </a:extLst>
        </xdr:cNvPr>
        <xdr:cNvSpPr/>
      </xdr:nvSpPr>
      <xdr:spPr>
        <a:xfrm>
          <a:off x="12653975" y="4260850"/>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death</a:t>
          </a:r>
          <a:r>
            <a:rPr lang="en-GB" sz="1050">
              <a:solidFill>
                <a:schemeClr val="lt1"/>
              </a:solidFill>
              <a:latin typeface="+mn-lt"/>
              <a:ea typeface="+mn-ea"/>
              <a:cs typeface="+mn-cs"/>
            </a:rPr>
            <a:t> </a:t>
          </a:r>
        </a:p>
      </xdr:txBody>
    </xdr:sp>
    <xdr:clientData/>
  </xdr:twoCellAnchor>
  <xdr:twoCellAnchor>
    <xdr:from>
      <xdr:col>32</xdr:col>
      <xdr:colOff>482080</xdr:colOff>
      <xdr:row>14</xdr:row>
      <xdr:rowOff>15332</xdr:rowOff>
    </xdr:from>
    <xdr:to>
      <xdr:col>34</xdr:col>
      <xdr:colOff>465513</xdr:colOff>
      <xdr:row>16</xdr:row>
      <xdr:rowOff>185532</xdr:rowOff>
    </xdr:to>
    <xdr:sp macro="" textlink="">
      <xdr:nvSpPr>
        <xdr:cNvPr id="20" name="Oval 19">
          <a:extLst>
            <a:ext uri="{FF2B5EF4-FFF2-40B4-BE49-F238E27FC236}">
              <a16:creationId xmlns:a16="http://schemas.microsoft.com/office/drawing/2014/main" id="{F3841B7F-D28B-4BE6-AB85-E35F272A822C}"/>
            </a:ext>
          </a:extLst>
        </xdr:cNvPr>
        <xdr:cNvSpPr/>
      </xdr:nvSpPr>
      <xdr:spPr>
        <a:xfrm>
          <a:off x="14032980" y="2225132"/>
          <a:ext cx="1202633" cy="538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Stroke</a:t>
          </a:r>
        </a:p>
      </xdr:txBody>
    </xdr:sp>
    <xdr:clientData/>
  </xdr:twoCellAnchor>
  <xdr:twoCellAnchor>
    <xdr:from>
      <xdr:col>27</xdr:col>
      <xdr:colOff>500011</xdr:colOff>
      <xdr:row>13</xdr:row>
      <xdr:rowOff>182672</xdr:rowOff>
    </xdr:from>
    <xdr:to>
      <xdr:col>29</xdr:col>
      <xdr:colOff>483444</xdr:colOff>
      <xdr:row>16</xdr:row>
      <xdr:rowOff>166108</xdr:rowOff>
    </xdr:to>
    <xdr:sp macro="" textlink="">
      <xdr:nvSpPr>
        <xdr:cNvPr id="21" name="Oval 20">
          <a:extLst>
            <a:ext uri="{FF2B5EF4-FFF2-40B4-BE49-F238E27FC236}">
              <a16:creationId xmlns:a16="http://schemas.microsoft.com/office/drawing/2014/main" id="{ECC3A608-9DDA-41BD-B298-97C77BE69918}"/>
            </a:ext>
          </a:extLst>
        </xdr:cNvPr>
        <xdr:cNvSpPr/>
      </xdr:nvSpPr>
      <xdr:spPr>
        <a:xfrm>
          <a:off x="11002911" y="220832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050">
              <a:solidFill>
                <a:sysClr val="windowText" lastClr="000000"/>
              </a:solidFill>
              <a:latin typeface="+mn-lt"/>
              <a:ea typeface="+mn-ea"/>
              <a:cs typeface="+mn-cs"/>
            </a:rPr>
            <a:t>Reinfarction</a:t>
          </a:r>
        </a:p>
      </xdr:txBody>
    </xdr:sp>
    <xdr:clientData/>
  </xdr:twoCellAnchor>
  <xdr:twoCellAnchor>
    <xdr:from>
      <xdr:col>32</xdr:col>
      <xdr:colOff>492538</xdr:colOff>
      <xdr:row>20</xdr:row>
      <xdr:rowOff>55672</xdr:rowOff>
    </xdr:from>
    <xdr:to>
      <xdr:col>34</xdr:col>
      <xdr:colOff>475971</xdr:colOff>
      <xdr:row>23</xdr:row>
      <xdr:rowOff>39108</xdr:rowOff>
    </xdr:to>
    <xdr:sp macro="" textlink="">
      <xdr:nvSpPr>
        <xdr:cNvPr id="22" name="Oval 21">
          <a:extLst>
            <a:ext uri="{FF2B5EF4-FFF2-40B4-BE49-F238E27FC236}">
              <a16:creationId xmlns:a16="http://schemas.microsoft.com/office/drawing/2014/main" id="{FDF98841-81C5-4212-8A54-ACC4EA466A11}"/>
            </a:ext>
          </a:extLst>
        </xdr:cNvPr>
        <xdr:cNvSpPr/>
      </xdr:nvSpPr>
      <xdr:spPr>
        <a:xfrm>
          <a:off x="14043438" y="337037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050">
              <a:solidFill>
                <a:sysClr val="windowText" lastClr="000000"/>
              </a:solidFill>
              <a:latin typeface="+mn-lt"/>
              <a:ea typeface="+mn-ea"/>
              <a:cs typeface="+mn-cs"/>
            </a:rPr>
            <a:t>post- stroke </a:t>
          </a:r>
        </a:p>
      </xdr:txBody>
    </xdr:sp>
    <xdr:clientData/>
  </xdr:twoCellAnchor>
  <xdr:twoCellAnchor>
    <xdr:from>
      <xdr:col>27</xdr:col>
      <xdr:colOff>577704</xdr:colOff>
      <xdr:row>20</xdr:row>
      <xdr:rowOff>51186</xdr:rowOff>
    </xdr:from>
    <xdr:to>
      <xdr:col>29</xdr:col>
      <xdr:colOff>561137</xdr:colOff>
      <xdr:row>23</xdr:row>
      <xdr:rowOff>34622</xdr:rowOff>
    </xdr:to>
    <xdr:sp macro="" textlink="">
      <xdr:nvSpPr>
        <xdr:cNvPr id="23" name="Oval 22">
          <a:extLst>
            <a:ext uri="{FF2B5EF4-FFF2-40B4-BE49-F238E27FC236}">
              <a16:creationId xmlns:a16="http://schemas.microsoft.com/office/drawing/2014/main" id="{2E094B93-F7E4-4376-8937-DF4025592D73}"/>
            </a:ext>
          </a:extLst>
        </xdr:cNvPr>
        <xdr:cNvSpPr/>
      </xdr:nvSpPr>
      <xdr:spPr>
        <a:xfrm>
          <a:off x="11118704" y="3786480"/>
          <a:ext cx="1208609" cy="5437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000" b="1">
              <a:solidFill>
                <a:sysClr val="windowText" lastClr="000000"/>
              </a:solidFill>
              <a:latin typeface="+mn-lt"/>
              <a:ea typeface="+mn-ea"/>
              <a:cs typeface="+mn-cs"/>
            </a:rPr>
            <a:t>post - </a:t>
          </a:r>
          <a:r>
            <a:rPr lang="en-GB" sz="800" b="1">
              <a:solidFill>
                <a:sysClr val="windowText" lastClr="000000"/>
              </a:solidFill>
              <a:effectLst/>
              <a:latin typeface="+mn-lt"/>
              <a:ea typeface="+mn-ea"/>
              <a:cs typeface="+mn-cs"/>
            </a:rPr>
            <a:t>Reinfarction</a:t>
          </a:r>
          <a:endParaRPr lang="en-GB" sz="1000" b="1">
            <a:solidFill>
              <a:sysClr val="windowText" lastClr="000000"/>
            </a:solidFill>
            <a:effectLst/>
          </a:endParaRPr>
        </a:p>
        <a:p>
          <a:pPr marL="0" indent="0" algn="ctr"/>
          <a:endParaRPr lang="en-GB" sz="1000">
            <a:solidFill>
              <a:sysClr val="windowText" lastClr="000000"/>
            </a:solidFill>
            <a:latin typeface="+mn-lt"/>
            <a:ea typeface="+mn-ea"/>
            <a:cs typeface="+mn-cs"/>
          </a:endParaRPr>
        </a:p>
      </xdr:txBody>
    </xdr:sp>
    <xdr:clientData/>
  </xdr:twoCellAnchor>
  <xdr:twoCellAnchor>
    <xdr:from>
      <xdr:col>28</xdr:col>
      <xdr:colOff>12774</xdr:colOff>
      <xdr:row>9</xdr:row>
      <xdr:rowOff>97117</xdr:rowOff>
    </xdr:from>
    <xdr:to>
      <xdr:col>30</xdr:col>
      <xdr:colOff>239059</xdr:colOff>
      <xdr:row>13</xdr:row>
      <xdr:rowOff>179294</xdr:rowOff>
    </xdr:to>
    <xdr:sp macro="" textlink="">
      <xdr:nvSpPr>
        <xdr:cNvPr id="24" name="Freeform: Shape 23">
          <a:extLst>
            <a:ext uri="{FF2B5EF4-FFF2-40B4-BE49-F238E27FC236}">
              <a16:creationId xmlns:a16="http://schemas.microsoft.com/office/drawing/2014/main" id="{5E31ED5F-0EEC-4A6D-B08B-EA832A6CA2A1}"/>
            </a:ext>
          </a:extLst>
        </xdr:cNvPr>
        <xdr:cNvSpPr/>
      </xdr:nvSpPr>
      <xdr:spPr>
        <a:xfrm>
          <a:off x="11125274" y="1386167"/>
          <a:ext cx="1445485" cy="818777"/>
        </a:xfrm>
        <a:custGeom>
          <a:avLst/>
          <a:gdLst>
            <a:gd name="connsiteX0" fmla="*/ 1451462 w 1451462"/>
            <a:gd name="connsiteY0" fmla="*/ 0 h 829236"/>
            <a:gd name="connsiteX1" fmla="*/ 91815 w 1451462"/>
            <a:gd name="connsiteY1" fmla="*/ 224118 h 829236"/>
            <a:gd name="connsiteX2" fmla="*/ 233756 w 1451462"/>
            <a:gd name="connsiteY2" fmla="*/ 829236 h 829236"/>
          </a:gdLst>
          <a:ahLst/>
          <a:cxnLst>
            <a:cxn ang="0">
              <a:pos x="connsiteX0" y="connsiteY0"/>
            </a:cxn>
            <a:cxn ang="0">
              <a:pos x="connsiteX1" y="connsiteY1"/>
            </a:cxn>
            <a:cxn ang="0">
              <a:pos x="connsiteX2" y="connsiteY2"/>
            </a:cxn>
          </a:cxnLst>
          <a:rect l="l" t="t" r="r" b="b"/>
          <a:pathLst>
            <a:path w="1451462" h="829236">
              <a:moveTo>
                <a:pt x="1451462" y="0"/>
              </a:moveTo>
              <a:cubicBezTo>
                <a:pt x="873114" y="42956"/>
                <a:pt x="294766" y="85912"/>
                <a:pt x="91815" y="224118"/>
              </a:cubicBezTo>
              <a:cubicBezTo>
                <a:pt x="-111136" y="362324"/>
                <a:pt x="61310" y="595780"/>
                <a:pt x="233756" y="829236"/>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lientData/>
  </xdr:twoCellAnchor>
  <xdr:twoCellAnchor>
    <xdr:from>
      <xdr:col>32</xdr:col>
      <xdr:colOff>231589</xdr:colOff>
      <xdr:row>9</xdr:row>
      <xdr:rowOff>89646</xdr:rowOff>
    </xdr:from>
    <xdr:to>
      <xdr:col>34</xdr:col>
      <xdr:colOff>410882</xdr:colOff>
      <xdr:row>14</xdr:row>
      <xdr:rowOff>68572</xdr:rowOff>
    </xdr:to>
    <xdr:sp macro="" textlink="">
      <xdr:nvSpPr>
        <xdr:cNvPr id="25" name="Freeform: Shape 24">
          <a:extLst>
            <a:ext uri="{FF2B5EF4-FFF2-40B4-BE49-F238E27FC236}">
              <a16:creationId xmlns:a16="http://schemas.microsoft.com/office/drawing/2014/main" id="{97CA5B3C-B194-4905-B382-FEB0402CB8DE}"/>
            </a:ext>
          </a:extLst>
        </xdr:cNvPr>
        <xdr:cNvSpPr/>
      </xdr:nvSpPr>
      <xdr:spPr>
        <a:xfrm>
          <a:off x="13782489" y="1378696"/>
          <a:ext cx="1398493" cy="899676"/>
        </a:xfrm>
        <a:custGeom>
          <a:avLst/>
          <a:gdLst>
            <a:gd name="connsiteX0" fmla="*/ 0 w 1085753"/>
            <a:gd name="connsiteY0" fmla="*/ 0 h 979984"/>
            <a:gd name="connsiteX1" fmla="*/ 1030941 w 1085753"/>
            <a:gd name="connsiteY1" fmla="*/ 283882 h 979984"/>
            <a:gd name="connsiteX2" fmla="*/ 941294 w 1085753"/>
            <a:gd name="connsiteY2" fmla="*/ 918882 h 979984"/>
            <a:gd name="connsiteX3" fmla="*/ 918882 w 1085753"/>
            <a:gd name="connsiteY3" fmla="*/ 918882 h 979984"/>
          </a:gdLst>
          <a:ahLst/>
          <a:cxnLst>
            <a:cxn ang="0">
              <a:pos x="connsiteX0" y="connsiteY0"/>
            </a:cxn>
            <a:cxn ang="0">
              <a:pos x="connsiteX1" y="connsiteY1"/>
            </a:cxn>
            <a:cxn ang="0">
              <a:pos x="connsiteX2" y="connsiteY2"/>
            </a:cxn>
            <a:cxn ang="0">
              <a:pos x="connsiteX3" y="connsiteY3"/>
            </a:cxn>
          </a:cxnLst>
          <a:rect l="l" t="t" r="r" b="b"/>
          <a:pathLst>
            <a:path w="1085753" h="979984">
              <a:moveTo>
                <a:pt x="0" y="0"/>
              </a:moveTo>
              <a:cubicBezTo>
                <a:pt x="437029" y="65367"/>
                <a:pt x="874059" y="130735"/>
                <a:pt x="1030941" y="283882"/>
              </a:cubicBezTo>
              <a:cubicBezTo>
                <a:pt x="1187823" y="437029"/>
                <a:pt x="959970" y="813049"/>
                <a:pt x="941294" y="918882"/>
              </a:cubicBezTo>
              <a:cubicBezTo>
                <a:pt x="922618" y="1024715"/>
                <a:pt x="920750" y="971798"/>
                <a:pt x="918882" y="918882"/>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33</xdr:col>
      <xdr:colOff>481267</xdr:colOff>
      <xdr:row>17</xdr:row>
      <xdr:rowOff>6238</xdr:rowOff>
    </xdr:from>
    <xdr:to>
      <xdr:col>33</xdr:col>
      <xdr:colOff>491725</xdr:colOff>
      <xdr:row>20</xdr:row>
      <xdr:rowOff>63142</xdr:rowOff>
    </xdr:to>
    <xdr:cxnSp macro="">
      <xdr:nvCxnSpPr>
        <xdr:cNvPr id="26" name="Straight Arrow Connector 25">
          <a:extLst>
            <a:ext uri="{FF2B5EF4-FFF2-40B4-BE49-F238E27FC236}">
              <a16:creationId xmlns:a16="http://schemas.microsoft.com/office/drawing/2014/main" id="{F58A5F04-B4A5-4FF6-82D7-19E055CA5093}"/>
            </a:ext>
          </a:extLst>
        </xdr:cNvPr>
        <xdr:cNvCxnSpPr/>
      </xdr:nvCxnSpPr>
      <xdr:spPr>
        <a:xfrm>
          <a:off x="14641767" y="2768488"/>
          <a:ext cx="10458" cy="609354"/>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506668</xdr:colOff>
      <xdr:row>16</xdr:row>
      <xdr:rowOff>181050</xdr:rowOff>
    </xdr:from>
    <xdr:to>
      <xdr:col>28</xdr:col>
      <xdr:colOff>517126</xdr:colOff>
      <xdr:row>20</xdr:row>
      <xdr:rowOff>51190</xdr:rowOff>
    </xdr:to>
    <xdr:cxnSp macro="">
      <xdr:nvCxnSpPr>
        <xdr:cNvPr id="27" name="Straight Arrow Connector 26">
          <a:extLst>
            <a:ext uri="{FF2B5EF4-FFF2-40B4-BE49-F238E27FC236}">
              <a16:creationId xmlns:a16="http://schemas.microsoft.com/office/drawing/2014/main" id="{1C1AB313-9B0E-49AD-9606-E449F9D6F15B}"/>
            </a:ext>
          </a:extLst>
        </xdr:cNvPr>
        <xdr:cNvCxnSpPr/>
      </xdr:nvCxnSpPr>
      <xdr:spPr>
        <a:xfrm>
          <a:off x="11619168" y="2759150"/>
          <a:ext cx="10458" cy="60674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254000</xdr:colOff>
      <xdr:row>23</xdr:row>
      <xdr:rowOff>37353</xdr:rowOff>
    </xdr:from>
    <xdr:to>
      <xdr:col>30</xdr:col>
      <xdr:colOff>313765</xdr:colOff>
      <xdr:row>26</xdr:row>
      <xdr:rowOff>153147</xdr:rowOff>
    </xdr:to>
    <xdr:sp macro="" textlink="">
      <xdr:nvSpPr>
        <xdr:cNvPr id="28" name="Freeform: Shape 27">
          <a:extLst>
            <a:ext uri="{FF2B5EF4-FFF2-40B4-BE49-F238E27FC236}">
              <a16:creationId xmlns:a16="http://schemas.microsoft.com/office/drawing/2014/main" id="{29ED481B-DA62-48C1-8AE3-E537081FC2FB}"/>
            </a:ext>
          </a:extLst>
        </xdr:cNvPr>
        <xdr:cNvSpPr/>
      </xdr:nvSpPr>
      <xdr:spPr>
        <a:xfrm>
          <a:off x="11366500" y="3904503"/>
          <a:ext cx="1278965" cy="668244"/>
        </a:xfrm>
        <a:custGeom>
          <a:avLst/>
          <a:gdLst>
            <a:gd name="connsiteX0" fmla="*/ 254299 w 1412241"/>
            <a:gd name="connsiteY0" fmla="*/ 0 h 676088"/>
            <a:gd name="connsiteX1" fmla="*/ 82476 w 1412241"/>
            <a:gd name="connsiteY1" fmla="*/ 575235 h 676088"/>
            <a:gd name="connsiteX2" fmla="*/ 1412241 w 1412241"/>
            <a:gd name="connsiteY2" fmla="*/ 672353 h 676088"/>
          </a:gdLst>
          <a:ahLst/>
          <a:cxnLst>
            <a:cxn ang="0">
              <a:pos x="connsiteX0" y="connsiteY0"/>
            </a:cxn>
            <a:cxn ang="0">
              <a:pos x="connsiteX1" y="connsiteY1"/>
            </a:cxn>
            <a:cxn ang="0">
              <a:pos x="connsiteX2" y="connsiteY2"/>
            </a:cxn>
          </a:cxnLst>
          <a:rect l="l" t="t" r="r" b="b"/>
          <a:pathLst>
            <a:path w="1412241" h="676088">
              <a:moveTo>
                <a:pt x="254299" y="0"/>
              </a:moveTo>
              <a:cubicBezTo>
                <a:pt x="71892" y="231588"/>
                <a:pt x="-110514" y="463176"/>
                <a:pt x="82476" y="575235"/>
              </a:cubicBezTo>
              <a:cubicBezTo>
                <a:pt x="275466" y="687294"/>
                <a:pt x="843853" y="679823"/>
                <a:pt x="1412241" y="672353"/>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32</xdr:col>
      <xdr:colOff>328706</xdr:colOff>
      <xdr:row>23</xdr:row>
      <xdr:rowOff>37353</xdr:rowOff>
    </xdr:from>
    <xdr:to>
      <xdr:col>34</xdr:col>
      <xdr:colOff>348729</xdr:colOff>
      <xdr:row>26</xdr:row>
      <xdr:rowOff>161062</xdr:rowOff>
    </xdr:to>
    <xdr:sp macro="" textlink="">
      <xdr:nvSpPr>
        <xdr:cNvPr id="29" name="Freeform: Shape 28">
          <a:extLst>
            <a:ext uri="{FF2B5EF4-FFF2-40B4-BE49-F238E27FC236}">
              <a16:creationId xmlns:a16="http://schemas.microsoft.com/office/drawing/2014/main" id="{6228D7C3-6CE1-42F9-B1C6-6ECCD8A97280}"/>
            </a:ext>
          </a:extLst>
        </xdr:cNvPr>
        <xdr:cNvSpPr/>
      </xdr:nvSpPr>
      <xdr:spPr>
        <a:xfrm>
          <a:off x="13879606" y="3904503"/>
          <a:ext cx="1239223" cy="676159"/>
        </a:xfrm>
        <a:custGeom>
          <a:avLst/>
          <a:gdLst>
            <a:gd name="connsiteX0" fmla="*/ 956235 w 1349788"/>
            <a:gd name="connsiteY0" fmla="*/ 0 h 684003"/>
            <a:gd name="connsiteX1" fmla="*/ 1299882 w 1349788"/>
            <a:gd name="connsiteY1" fmla="*/ 582706 h 684003"/>
            <a:gd name="connsiteX2" fmla="*/ 0 w 1349788"/>
            <a:gd name="connsiteY2" fmla="*/ 679824 h 684003"/>
          </a:gdLst>
          <a:ahLst/>
          <a:cxnLst>
            <a:cxn ang="0">
              <a:pos x="connsiteX0" y="connsiteY0"/>
            </a:cxn>
            <a:cxn ang="0">
              <a:pos x="connsiteX1" y="connsiteY1"/>
            </a:cxn>
            <a:cxn ang="0">
              <a:pos x="connsiteX2" y="connsiteY2"/>
            </a:cxn>
          </a:cxnLst>
          <a:rect l="l" t="t" r="r" b="b"/>
          <a:pathLst>
            <a:path w="1349788" h="684003">
              <a:moveTo>
                <a:pt x="956235" y="0"/>
              </a:moveTo>
              <a:cubicBezTo>
                <a:pt x="1207745" y="234701"/>
                <a:pt x="1459255" y="469402"/>
                <a:pt x="1299882" y="582706"/>
              </a:cubicBezTo>
              <a:cubicBezTo>
                <a:pt x="1140510" y="696010"/>
                <a:pt x="570255" y="687917"/>
                <a:pt x="0" y="679824"/>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246529</xdr:colOff>
      <xdr:row>7</xdr:row>
      <xdr:rowOff>22297</xdr:rowOff>
    </xdr:from>
    <xdr:to>
      <xdr:col>32</xdr:col>
      <xdr:colOff>67820</xdr:colOff>
      <xdr:row>8</xdr:row>
      <xdr:rowOff>51188</xdr:rowOff>
    </xdr:to>
    <xdr:sp macro="" textlink="">
      <xdr:nvSpPr>
        <xdr:cNvPr id="30" name="Freeform: Shape 29">
          <a:extLst>
            <a:ext uri="{FF2B5EF4-FFF2-40B4-BE49-F238E27FC236}">
              <a16:creationId xmlns:a16="http://schemas.microsoft.com/office/drawing/2014/main" id="{40956725-7630-4F33-888A-97CDD7E33BFE}"/>
            </a:ext>
          </a:extLst>
        </xdr:cNvPr>
        <xdr:cNvSpPr/>
      </xdr:nvSpPr>
      <xdr:spPr>
        <a:xfrm>
          <a:off x="13187829" y="943047"/>
          <a:ext cx="430891" cy="213041"/>
        </a:xfrm>
        <a:custGeom>
          <a:avLst/>
          <a:gdLst>
            <a:gd name="connsiteX0" fmla="*/ 0 w 433879"/>
            <a:gd name="connsiteY0" fmla="*/ 171939 h 215656"/>
            <a:gd name="connsiteX1" fmla="*/ 418353 w 433879"/>
            <a:gd name="connsiteY1" fmla="*/ 115 h 215656"/>
            <a:gd name="connsiteX2" fmla="*/ 351118 w 433879"/>
            <a:gd name="connsiteY2" fmla="*/ 194350 h 215656"/>
            <a:gd name="connsiteX3" fmla="*/ 336177 w 433879"/>
            <a:gd name="connsiteY3" fmla="*/ 201821 h 215656"/>
          </a:gdLst>
          <a:ahLst/>
          <a:cxnLst>
            <a:cxn ang="0">
              <a:pos x="connsiteX0" y="connsiteY0"/>
            </a:cxn>
            <a:cxn ang="0">
              <a:pos x="connsiteX1" y="connsiteY1"/>
            </a:cxn>
            <a:cxn ang="0">
              <a:pos x="connsiteX2" y="connsiteY2"/>
            </a:cxn>
            <a:cxn ang="0">
              <a:pos x="connsiteX3" y="connsiteY3"/>
            </a:cxn>
          </a:cxnLst>
          <a:rect l="l" t="t" r="r" b="b"/>
          <a:pathLst>
            <a:path w="433879" h="215656">
              <a:moveTo>
                <a:pt x="0" y="171939"/>
              </a:moveTo>
              <a:cubicBezTo>
                <a:pt x="179916" y="84159"/>
                <a:pt x="359833" y="-3620"/>
                <a:pt x="418353" y="115"/>
              </a:cubicBezTo>
              <a:cubicBezTo>
                <a:pt x="476873" y="3850"/>
                <a:pt x="351118" y="194350"/>
                <a:pt x="351118" y="194350"/>
              </a:cubicBezTo>
              <a:cubicBezTo>
                <a:pt x="337422" y="227968"/>
                <a:pt x="336799" y="214894"/>
                <a:pt x="336177" y="201821"/>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34</xdr:col>
      <xdr:colOff>433294</xdr:colOff>
      <xdr:row>21</xdr:row>
      <xdr:rowOff>171824</xdr:rowOff>
    </xdr:from>
    <xdr:to>
      <xdr:col>35</xdr:col>
      <xdr:colOff>127700</xdr:colOff>
      <xdr:row>22</xdr:row>
      <xdr:rowOff>102501</xdr:rowOff>
    </xdr:to>
    <xdr:sp macro="" textlink="">
      <xdr:nvSpPr>
        <xdr:cNvPr id="31" name="Freeform: Shape 30">
          <a:extLst>
            <a:ext uri="{FF2B5EF4-FFF2-40B4-BE49-F238E27FC236}">
              <a16:creationId xmlns:a16="http://schemas.microsoft.com/office/drawing/2014/main" id="{DFB23232-13AE-4FD4-838A-846B56E86953}"/>
            </a:ext>
          </a:extLst>
        </xdr:cNvPr>
        <xdr:cNvSpPr/>
      </xdr:nvSpPr>
      <xdr:spPr>
        <a:xfrm>
          <a:off x="15203394" y="3670674"/>
          <a:ext cx="304006" cy="114827"/>
        </a:xfrm>
        <a:custGeom>
          <a:avLst/>
          <a:gdLst>
            <a:gd name="connsiteX0" fmla="*/ 67235 w 306994"/>
            <a:gd name="connsiteY0" fmla="*/ 0 h 117442"/>
            <a:gd name="connsiteX1" fmla="*/ 306294 w 306994"/>
            <a:gd name="connsiteY1" fmla="*/ 104588 h 117442"/>
            <a:gd name="connsiteX2" fmla="*/ 0 w 306994"/>
            <a:gd name="connsiteY2" fmla="*/ 112059 h 117442"/>
          </a:gdLst>
          <a:ahLst/>
          <a:cxnLst>
            <a:cxn ang="0">
              <a:pos x="connsiteX0" y="connsiteY0"/>
            </a:cxn>
            <a:cxn ang="0">
              <a:pos x="connsiteX1" y="connsiteY1"/>
            </a:cxn>
            <a:cxn ang="0">
              <a:pos x="connsiteX2" y="connsiteY2"/>
            </a:cxn>
          </a:cxnLst>
          <a:rect l="l" t="t" r="r" b="b"/>
          <a:pathLst>
            <a:path w="306994" h="117442">
              <a:moveTo>
                <a:pt x="67235" y="0"/>
              </a:moveTo>
              <a:cubicBezTo>
                <a:pt x="192367" y="42955"/>
                <a:pt x="317500" y="85911"/>
                <a:pt x="306294" y="104588"/>
              </a:cubicBezTo>
              <a:cubicBezTo>
                <a:pt x="295088" y="123265"/>
                <a:pt x="147544" y="117662"/>
                <a:pt x="0" y="112059"/>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27</xdr:col>
      <xdr:colOff>476820</xdr:colOff>
      <xdr:row>19</xdr:row>
      <xdr:rowOff>170495</xdr:rowOff>
    </xdr:from>
    <xdr:to>
      <xdr:col>28</xdr:col>
      <xdr:colOff>179294</xdr:colOff>
      <xdr:row>21</xdr:row>
      <xdr:rowOff>14941</xdr:rowOff>
    </xdr:to>
    <xdr:sp macro="" textlink="">
      <xdr:nvSpPr>
        <xdr:cNvPr id="32" name="Freeform: Shape 31">
          <a:extLst>
            <a:ext uri="{FF2B5EF4-FFF2-40B4-BE49-F238E27FC236}">
              <a16:creationId xmlns:a16="http://schemas.microsoft.com/office/drawing/2014/main" id="{245B7AFD-B2C4-41B0-9CEC-63E6B6AF35AC}"/>
            </a:ext>
          </a:extLst>
        </xdr:cNvPr>
        <xdr:cNvSpPr/>
      </xdr:nvSpPr>
      <xdr:spPr>
        <a:xfrm>
          <a:off x="10979720" y="3301045"/>
          <a:ext cx="312074" cy="212746"/>
        </a:xfrm>
        <a:custGeom>
          <a:avLst/>
          <a:gdLst>
            <a:gd name="connsiteX0" fmla="*/ 315062 w 315062"/>
            <a:gd name="connsiteY0" fmla="*/ 143270 h 217975"/>
            <a:gd name="connsiteX1" fmla="*/ 8768 w 315062"/>
            <a:gd name="connsiteY1" fmla="*/ 1328 h 217975"/>
            <a:gd name="connsiteX2" fmla="*/ 113357 w 315062"/>
            <a:gd name="connsiteY2" fmla="*/ 217975 h 217975"/>
          </a:gdLst>
          <a:ahLst/>
          <a:cxnLst>
            <a:cxn ang="0">
              <a:pos x="connsiteX0" y="connsiteY0"/>
            </a:cxn>
            <a:cxn ang="0">
              <a:pos x="connsiteX1" y="connsiteY1"/>
            </a:cxn>
            <a:cxn ang="0">
              <a:pos x="connsiteX2" y="connsiteY2"/>
            </a:cxn>
          </a:cxnLst>
          <a:rect l="l" t="t" r="r" b="b"/>
          <a:pathLst>
            <a:path w="315062" h="217975">
              <a:moveTo>
                <a:pt x="315062" y="143270"/>
              </a:moveTo>
              <a:cubicBezTo>
                <a:pt x="178723" y="66073"/>
                <a:pt x="42385" y="-11123"/>
                <a:pt x="8768" y="1328"/>
              </a:cubicBezTo>
              <a:cubicBezTo>
                <a:pt x="-24850" y="13779"/>
                <a:pt x="44253" y="115877"/>
                <a:pt x="113357" y="217975"/>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30</xdr:col>
      <xdr:colOff>457840</xdr:colOff>
      <xdr:row>28</xdr:row>
      <xdr:rowOff>7471</xdr:rowOff>
    </xdr:from>
    <xdr:to>
      <xdr:col>31</xdr:col>
      <xdr:colOff>201706</xdr:colOff>
      <xdr:row>29</xdr:row>
      <xdr:rowOff>112091</xdr:rowOff>
    </xdr:to>
    <xdr:sp macro="" textlink="">
      <xdr:nvSpPr>
        <xdr:cNvPr id="33" name="Freeform: Shape 32">
          <a:extLst>
            <a:ext uri="{FF2B5EF4-FFF2-40B4-BE49-F238E27FC236}">
              <a16:creationId xmlns:a16="http://schemas.microsoft.com/office/drawing/2014/main" id="{42062B20-F84C-4665-86DD-6ADF7D9F1DED}"/>
            </a:ext>
          </a:extLst>
        </xdr:cNvPr>
        <xdr:cNvSpPr/>
      </xdr:nvSpPr>
      <xdr:spPr>
        <a:xfrm>
          <a:off x="12789540" y="4795371"/>
          <a:ext cx="353466" cy="288770"/>
        </a:xfrm>
        <a:custGeom>
          <a:avLst/>
          <a:gdLst>
            <a:gd name="connsiteX0" fmla="*/ 356454 w 356454"/>
            <a:gd name="connsiteY0" fmla="*/ 14941 h 291385"/>
            <a:gd name="connsiteX1" fmla="*/ 5336 w 356454"/>
            <a:gd name="connsiteY1" fmla="*/ 291353 h 291385"/>
            <a:gd name="connsiteX2" fmla="*/ 177160 w 356454"/>
            <a:gd name="connsiteY2" fmla="*/ 0 h 291385"/>
          </a:gdLst>
          <a:ahLst/>
          <a:cxnLst>
            <a:cxn ang="0">
              <a:pos x="connsiteX0" y="connsiteY0"/>
            </a:cxn>
            <a:cxn ang="0">
              <a:pos x="connsiteX1" y="connsiteY1"/>
            </a:cxn>
            <a:cxn ang="0">
              <a:pos x="connsiteX2" y="connsiteY2"/>
            </a:cxn>
          </a:cxnLst>
          <a:rect l="l" t="t" r="r" b="b"/>
          <a:pathLst>
            <a:path w="356454" h="291385">
              <a:moveTo>
                <a:pt x="356454" y="14941"/>
              </a:moveTo>
              <a:cubicBezTo>
                <a:pt x="195836" y="154392"/>
                <a:pt x="35218" y="293843"/>
                <a:pt x="5336" y="291353"/>
              </a:cubicBezTo>
              <a:cubicBezTo>
                <a:pt x="-24546" y="288863"/>
                <a:pt x="76307" y="144431"/>
                <a:pt x="177160" y="0"/>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254001</xdr:colOff>
      <xdr:row>11</xdr:row>
      <xdr:rowOff>22413</xdr:rowOff>
    </xdr:from>
    <xdr:to>
      <xdr:col>31</xdr:col>
      <xdr:colOff>276413</xdr:colOff>
      <xdr:row>24</xdr:row>
      <xdr:rowOff>171825</xdr:rowOff>
    </xdr:to>
    <xdr:sp macro="" textlink="">
      <xdr:nvSpPr>
        <xdr:cNvPr id="34" name="Freeform: Shape 33">
          <a:extLst>
            <a:ext uri="{FF2B5EF4-FFF2-40B4-BE49-F238E27FC236}">
              <a16:creationId xmlns:a16="http://schemas.microsoft.com/office/drawing/2014/main" id="{4DD59DF3-B676-4A34-8859-6C6A7B2A5730}"/>
            </a:ext>
          </a:extLst>
        </xdr:cNvPr>
        <xdr:cNvSpPr/>
      </xdr:nvSpPr>
      <xdr:spPr>
        <a:xfrm>
          <a:off x="13195301" y="1679763"/>
          <a:ext cx="22412" cy="2543362"/>
        </a:xfrm>
        <a:custGeom>
          <a:avLst/>
          <a:gdLst>
            <a:gd name="connsiteX0" fmla="*/ 0 w 22412"/>
            <a:gd name="connsiteY0" fmla="*/ 0 h 2577353"/>
            <a:gd name="connsiteX1" fmla="*/ 22412 w 22412"/>
            <a:gd name="connsiteY1" fmla="*/ 2577353 h 2577353"/>
            <a:gd name="connsiteX2" fmla="*/ 22412 w 22412"/>
            <a:gd name="connsiteY2" fmla="*/ 2577353 h 2577353"/>
            <a:gd name="connsiteX3" fmla="*/ 22412 w 22412"/>
            <a:gd name="connsiteY3" fmla="*/ 2577353 h 2577353"/>
          </a:gdLst>
          <a:ahLst/>
          <a:cxnLst>
            <a:cxn ang="0">
              <a:pos x="connsiteX0" y="connsiteY0"/>
            </a:cxn>
            <a:cxn ang="0">
              <a:pos x="connsiteX1" y="connsiteY1"/>
            </a:cxn>
            <a:cxn ang="0">
              <a:pos x="connsiteX2" y="connsiteY2"/>
            </a:cxn>
            <a:cxn ang="0">
              <a:pos x="connsiteX3" y="connsiteY3"/>
            </a:cxn>
          </a:cxnLst>
          <a:rect l="l" t="t" r="r" b="b"/>
          <a:pathLst>
            <a:path w="22412" h="2577353">
              <a:moveTo>
                <a:pt x="0" y="0"/>
              </a:moveTo>
              <a:lnTo>
                <a:pt x="22412" y="2577353"/>
              </a:lnTo>
              <a:lnTo>
                <a:pt x="22412" y="2577353"/>
              </a:lnTo>
              <a:lnTo>
                <a:pt x="22412" y="2577353"/>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359656</xdr:colOff>
      <xdr:row>17</xdr:row>
      <xdr:rowOff>7471</xdr:rowOff>
    </xdr:from>
    <xdr:to>
      <xdr:col>33</xdr:col>
      <xdr:colOff>441832</xdr:colOff>
      <xdr:row>24</xdr:row>
      <xdr:rowOff>149412</xdr:rowOff>
    </xdr:to>
    <xdr:sp macro="" textlink="">
      <xdr:nvSpPr>
        <xdr:cNvPr id="35" name="Freeform: Shape 34">
          <a:extLst>
            <a:ext uri="{FF2B5EF4-FFF2-40B4-BE49-F238E27FC236}">
              <a16:creationId xmlns:a16="http://schemas.microsoft.com/office/drawing/2014/main" id="{D897CCB8-A0D6-45A9-892D-669D152C0F70}"/>
            </a:ext>
          </a:extLst>
        </xdr:cNvPr>
        <xdr:cNvSpPr/>
      </xdr:nvSpPr>
      <xdr:spPr>
        <a:xfrm>
          <a:off x="13300956" y="2769721"/>
          <a:ext cx="1301376" cy="1430991"/>
        </a:xfrm>
        <a:custGeom>
          <a:avLst/>
          <a:gdLst>
            <a:gd name="connsiteX0" fmla="*/ 1307353 w 1307353"/>
            <a:gd name="connsiteY0" fmla="*/ 0 h 1449294"/>
            <a:gd name="connsiteX1" fmla="*/ 0 w 1307353"/>
            <a:gd name="connsiteY1" fmla="*/ 1449294 h 1449294"/>
          </a:gdLst>
          <a:ahLst/>
          <a:cxnLst>
            <a:cxn ang="0">
              <a:pos x="connsiteX0" y="connsiteY0"/>
            </a:cxn>
            <a:cxn ang="0">
              <a:pos x="connsiteX1" y="connsiteY1"/>
            </a:cxn>
          </a:cxnLst>
          <a:rect l="l" t="t" r="r" b="b"/>
          <a:pathLst>
            <a:path w="1307353" h="1449294">
              <a:moveTo>
                <a:pt x="1307353" y="0"/>
              </a:moveTo>
              <a:lnTo>
                <a:pt x="0" y="1449294"/>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28</xdr:col>
      <xdr:colOff>522942</xdr:colOff>
      <xdr:row>16</xdr:row>
      <xdr:rowOff>179294</xdr:rowOff>
    </xdr:from>
    <xdr:to>
      <xdr:col>31</xdr:col>
      <xdr:colOff>186765</xdr:colOff>
      <xdr:row>24</xdr:row>
      <xdr:rowOff>141942</xdr:rowOff>
    </xdr:to>
    <xdr:sp macro="" textlink="">
      <xdr:nvSpPr>
        <xdr:cNvPr id="36" name="Freeform: Shape 35">
          <a:extLst>
            <a:ext uri="{FF2B5EF4-FFF2-40B4-BE49-F238E27FC236}">
              <a16:creationId xmlns:a16="http://schemas.microsoft.com/office/drawing/2014/main" id="{02A7C7E5-46B3-4A7D-966C-E5A88E9E0DBE}"/>
            </a:ext>
          </a:extLst>
        </xdr:cNvPr>
        <xdr:cNvSpPr/>
      </xdr:nvSpPr>
      <xdr:spPr>
        <a:xfrm>
          <a:off x="11635442" y="2757394"/>
          <a:ext cx="1492623" cy="1435848"/>
        </a:xfrm>
        <a:custGeom>
          <a:avLst/>
          <a:gdLst>
            <a:gd name="connsiteX0" fmla="*/ 0 w 1501588"/>
            <a:gd name="connsiteY0" fmla="*/ 0 h 1456765"/>
            <a:gd name="connsiteX1" fmla="*/ 1501588 w 1501588"/>
            <a:gd name="connsiteY1" fmla="*/ 1456765 h 1456765"/>
          </a:gdLst>
          <a:ahLst/>
          <a:cxnLst>
            <a:cxn ang="0">
              <a:pos x="connsiteX0" y="connsiteY0"/>
            </a:cxn>
            <a:cxn ang="0">
              <a:pos x="connsiteX1" y="connsiteY1"/>
            </a:cxn>
          </a:cxnLst>
          <a:rect l="l" t="t" r="r" b="b"/>
          <a:pathLst>
            <a:path w="1501588" h="1456765">
              <a:moveTo>
                <a:pt x="0" y="0"/>
              </a:moveTo>
              <a:lnTo>
                <a:pt x="1501588" y="1456765"/>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6</xdr:col>
      <xdr:colOff>604972</xdr:colOff>
      <xdr:row>0</xdr:row>
      <xdr:rowOff>92280</xdr:rowOff>
    </xdr:from>
    <xdr:to>
      <xdr:col>26</xdr:col>
      <xdr:colOff>9071</xdr:colOff>
      <xdr:row>2</xdr:row>
      <xdr:rowOff>72573</xdr:rowOff>
    </xdr:to>
    <xdr:sp macro="" textlink="">
      <xdr:nvSpPr>
        <xdr:cNvPr id="37" name="TextBox 12">
          <a:extLst>
            <a:ext uri="{FF2B5EF4-FFF2-40B4-BE49-F238E27FC236}">
              <a16:creationId xmlns:a16="http://schemas.microsoft.com/office/drawing/2014/main" id="{22B1E650-7D60-4901-BC4A-3D547FE8FA74}"/>
            </a:ext>
          </a:extLst>
        </xdr:cNvPr>
        <xdr:cNvSpPr txBox="1"/>
      </xdr:nvSpPr>
      <xdr:spPr>
        <a:xfrm>
          <a:off x="604972" y="92280"/>
          <a:ext cx="9754599" cy="343150"/>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26</xdr:col>
      <xdr:colOff>108858</xdr:colOff>
      <xdr:row>0</xdr:row>
      <xdr:rowOff>90714</xdr:rowOff>
    </xdr:from>
    <xdr:to>
      <xdr:col>35</xdr:col>
      <xdr:colOff>580571</xdr:colOff>
      <xdr:row>2</xdr:row>
      <xdr:rowOff>67236</xdr:rowOff>
    </xdr:to>
    <xdr:sp macro="" textlink="">
      <xdr:nvSpPr>
        <xdr:cNvPr id="38" name="TextBox 12">
          <a:extLst>
            <a:ext uri="{FF2B5EF4-FFF2-40B4-BE49-F238E27FC236}">
              <a16:creationId xmlns:a16="http://schemas.microsoft.com/office/drawing/2014/main" id="{D270E973-D0D2-4270-AE17-A8703FD33983}"/>
            </a:ext>
          </a:extLst>
        </xdr:cNvPr>
        <xdr:cNvSpPr txBox="1"/>
      </xdr:nvSpPr>
      <xdr:spPr>
        <a:xfrm>
          <a:off x="14198387" y="90714"/>
          <a:ext cx="5499419" cy="350051"/>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life time Markov</a:t>
          </a:r>
        </a:p>
      </xdr:txBody>
    </xdr:sp>
    <xdr:clientData/>
  </xdr:twoCellAnchor>
  <xdr:twoCellAnchor>
    <xdr:from>
      <xdr:col>20</xdr:col>
      <xdr:colOff>463441</xdr:colOff>
      <xdr:row>15</xdr:row>
      <xdr:rowOff>107570</xdr:rowOff>
    </xdr:from>
    <xdr:to>
      <xdr:col>27</xdr:col>
      <xdr:colOff>143198</xdr:colOff>
      <xdr:row>21</xdr:row>
      <xdr:rowOff>11462</xdr:rowOff>
    </xdr:to>
    <xdr:sp macro="" textlink="">
      <xdr:nvSpPr>
        <xdr:cNvPr id="40" name="TextBox 12">
          <a:extLst>
            <a:ext uri="{FF2B5EF4-FFF2-40B4-BE49-F238E27FC236}">
              <a16:creationId xmlns:a16="http://schemas.microsoft.com/office/drawing/2014/main" id="{2874C7D7-1A41-4228-B666-15EBD2A8F42A}"/>
            </a:ext>
          </a:extLst>
        </xdr:cNvPr>
        <xdr:cNvSpPr txBox="1"/>
      </xdr:nvSpPr>
      <xdr:spPr>
        <a:xfrm>
          <a:off x="12646370" y="2828999"/>
          <a:ext cx="1630114" cy="992463"/>
        </a:xfrm>
        <a:prstGeom prst="rect">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patients</a:t>
          </a:r>
          <a:r>
            <a:rPr lang="en-GB" sz="1050" baseline="0"/>
            <a:t> who survived will move to one of the Markov states based on their short-term health state.</a:t>
          </a:r>
          <a:endParaRPr lang="en-GB" sz="1050"/>
        </a:p>
      </xdr:txBody>
    </xdr:sp>
    <xdr:clientData/>
  </xdr:twoCellAnchor>
  <xdr:twoCellAnchor>
    <xdr:from>
      <xdr:col>13</xdr:col>
      <xdr:colOff>4073</xdr:colOff>
      <xdr:row>11</xdr:row>
      <xdr:rowOff>50388</xdr:rowOff>
    </xdr:from>
    <xdr:to>
      <xdr:col>14</xdr:col>
      <xdr:colOff>376002</xdr:colOff>
      <xdr:row>12</xdr:row>
      <xdr:rowOff>180423</xdr:rowOff>
    </xdr:to>
    <xdr:sp macro="" textlink="">
      <xdr:nvSpPr>
        <xdr:cNvPr id="42" name="TextBox 12">
          <a:extLst>
            <a:ext uri="{FF2B5EF4-FFF2-40B4-BE49-F238E27FC236}">
              <a16:creationId xmlns:a16="http://schemas.microsoft.com/office/drawing/2014/main" id="{411EBABF-ABB1-4CD0-8AD0-0E9393B2A6C8}"/>
            </a:ext>
          </a:extLst>
        </xdr:cNvPr>
        <xdr:cNvSpPr txBox="1"/>
      </xdr:nvSpPr>
      <xdr:spPr>
        <a:xfrm>
          <a:off x="4283973" y="1707738"/>
          <a:ext cx="981529" cy="3141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700"/>
            <a:t>test result followed </a:t>
          </a:r>
        </a:p>
      </xdr:txBody>
    </xdr:sp>
    <xdr:clientData/>
  </xdr:twoCellAnchor>
  <xdr:twoCellAnchor>
    <xdr:from>
      <xdr:col>10</xdr:col>
      <xdr:colOff>607785</xdr:colOff>
      <xdr:row>14</xdr:row>
      <xdr:rowOff>80116</xdr:rowOff>
    </xdr:from>
    <xdr:to>
      <xdr:col>13</xdr:col>
      <xdr:colOff>36286</xdr:colOff>
      <xdr:row>15</xdr:row>
      <xdr:rowOff>72570</xdr:rowOff>
    </xdr:to>
    <xdr:grpSp>
      <xdr:nvGrpSpPr>
        <xdr:cNvPr id="43" name="Group 42">
          <a:extLst>
            <a:ext uri="{FF2B5EF4-FFF2-40B4-BE49-F238E27FC236}">
              <a16:creationId xmlns:a16="http://schemas.microsoft.com/office/drawing/2014/main" id="{A86BCCE8-8D41-43B5-9E53-AD29BA2A9CA3}"/>
            </a:ext>
          </a:extLst>
        </xdr:cNvPr>
        <xdr:cNvGrpSpPr/>
      </xdr:nvGrpSpPr>
      <xdr:grpSpPr>
        <a:xfrm>
          <a:off x="7331314" y="2799410"/>
          <a:ext cx="1445560" cy="186689"/>
          <a:chOff x="2196350" y="2409473"/>
          <a:chExt cx="1517524" cy="107732"/>
        </a:xfrm>
      </xdr:grpSpPr>
      <xdr:cxnSp macro="">
        <xdr:nvCxnSpPr>
          <xdr:cNvPr id="44" name="Straight Connector 13">
            <a:extLst>
              <a:ext uri="{FF2B5EF4-FFF2-40B4-BE49-F238E27FC236}">
                <a16:creationId xmlns:a16="http://schemas.microsoft.com/office/drawing/2014/main" id="{CF9F80CB-DB41-EE68-BDA1-6A53F0ADB46A}"/>
              </a:ext>
            </a:extLst>
          </xdr:cNvPr>
          <xdr:cNvCxnSpPr/>
        </xdr:nvCxnSpPr>
        <xdr:spPr>
          <a:xfrm flipV="1">
            <a:off x="2196350" y="2464025"/>
            <a:ext cx="1408571" cy="5701"/>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45" name="Oval 16">
            <a:extLst>
              <a:ext uri="{FF2B5EF4-FFF2-40B4-BE49-F238E27FC236}">
                <a16:creationId xmlns:a16="http://schemas.microsoft.com/office/drawing/2014/main" id="{FE44FEE2-4291-50F3-22EB-6FAF3A9CD1DA}"/>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13</xdr:col>
      <xdr:colOff>5773</xdr:colOff>
      <xdr:row>17</xdr:row>
      <xdr:rowOff>3661</xdr:rowOff>
    </xdr:from>
    <xdr:to>
      <xdr:col>14</xdr:col>
      <xdr:colOff>377702</xdr:colOff>
      <xdr:row>18</xdr:row>
      <xdr:rowOff>130863</xdr:rowOff>
    </xdr:to>
    <xdr:sp macro="" textlink="">
      <xdr:nvSpPr>
        <xdr:cNvPr id="46" name="TextBox 12">
          <a:extLst>
            <a:ext uri="{FF2B5EF4-FFF2-40B4-BE49-F238E27FC236}">
              <a16:creationId xmlns:a16="http://schemas.microsoft.com/office/drawing/2014/main" id="{DD199262-904D-482F-951B-61F95E12BD3A}"/>
            </a:ext>
          </a:extLst>
        </xdr:cNvPr>
        <xdr:cNvSpPr txBox="1"/>
      </xdr:nvSpPr>
      <xdr:spPr>
        <a:xfrm>
          <a:off x="4285673" y="2765911"/>
          <a:ext cx="981529" cy="3113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700"/>
            <a:t>test result not followed </a:t>
          </a:r>
        </a:p>
      </xdr:txBody>
    </xdr:sp>
    <xdr:clientData/>
  </xdr:twoCellAnchor>
  <xdr:twoCellAnchor>
    <xdr:from>
      <xdr:col>12</xdr:col>
      <xdr:colOff>604103</xdr:colOff>
      <xdr:row>13</xdr:row>
      <xdr:rowOff>39055</xdr:rowOff>
    </xdr:from>
    <xdr:to>
      <xdr:col>12</xdr:col>
      <xdr:colOff>605390</xdr:colOff>
      <xdr:row>17</xdr:row>
      <xdr:rowOff>49875</xdr:rowOff>
    </xdr:to>
    <xdr:cxnSp macro="">
      <xdr:nvCxnSpPr>
        <xdr:cNvPr id="47" name="Straight Connector 46">
          <a:extLst>
            <a:ext uri="{FF2B5EF4-FFF2-40B4-BE49-F238E27FC236}">
              <a16:creationId xmlns:a16="http://schemas.microsoft.com/office/drawing/2014/main" id="{C70EFF68-A4B1-4B11-9BF8-D3EA7FE4AD32}"/>
            </a:ext>
          </a:extLst>
        </xdr:cNvPr>
        <xdr:cNvCxnSpPr/>
      </xdr:nvCxnSpPr>
      <xdr:spPr>
        <a:xfrm flipH="1">
          <a:off x="4274403" y="2064705"/>
          <a:ext cx="1287" cy="7474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0</xdr:colOff>
      <xdr:row>23</xdr:row>
      <xdr:rowOff>0</xdr:rowOff>
    </xdr:from>
    <xdr:to>
      <xdr:col>11</xdr:col>
      <xdr:colOff>605117</xdr:colOff>
      <xdr:row>23</xdr:row>
      <xdr:rowOff>7471</xdr:rowOff>
    </xdr:to>
    <xdr:cxnSp macro="">
      <xdr:nvCxnSpPr>
        <xdr:cNvPr id="48" name="Straight Connector 13">
          <a:extLst>
            <a:ext uri="{FF2B5EF4-FFF2-40B4-BE49-F238E27FC236}">
              <a16:creationId xmlns:a16="http://schemas.microsoft.com/office/drawing/2014/main" id="{5760CED5-8D3A-4E27-B4A4-6739AE80894E}"/>
            </a:ext>
          </a:extLst>
        </xdr:cNvPr>
        <xdr:cNvCxnSpPr/>
      </xdr:nvCxnSpPr>
      <xdr:spPr>
        <a:xfrm>
          <a:off x="6738471" y="4295588"/>
          <a:ext cx="605117" cy="747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93084</xdr:colOff>
      <xdr:row>23</xdr:row>
      <xdr:rowOff>7471</xdr:rowOff>
    </xdr:from>
    <xdr:to>
      <xdr:col>7</xdr:col>
      <xdr:colOff>89647</xdr:colOff>
      <xdr:row>23</xdr:row>
      <xdr:rowOff>17802</xdr:rowOff>
    </xdr:to>
    <xdr:cxnSp macro="">
      <xdr:nvCxnSpPr>
        <xdr:cNvPr id="49" name="Straight Connector 3">
          <a:extLst>
            <a:ext uri="{FF2B5EF4-FFF2-40B4-BE49-F238E27FC236}">
              <a16:creationId xmlns:a16="http://schemas.microsoft.com/office/drawing/2014/main" id="{D0269747-0E9D-4718-ACCF-912A16B394EA}"/>
            </a:ext>
          </a:extLst>
        </xdr:cNvPr>
        <xdr:cNvCxnSpPr/>
      </xdr:nvCxnSpPr>
      <xdr:spPr>
        <a:xfrm flipV="1">
          <a:off x="3768613" y="4303059"/>
          <a:ext cx="609152" cy="1033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505971</xdr:colOff>
      <xdr:row>22</xdr:row>
      <xdr:rowOff>94984</xdr:rowOff>
    </xdr:from>
    <xdr:to>
      <xdr:col>7</xdr:col>
      <xdr:colOff>110457</xdr:colOff>
      <xdr:row>23</xdr:row>
      <xdr:rowOff>121725</xdr:rowOff>
    </xdr:to>
    <xdr:sp macro="" textlink="">
      <xdr:nvSpPr>
        <xdr:cNvPr id="50" name="Rectangle 49">
          <a:extLst>
            <a:ext uri="{FF2B5EF4-FFF2-40B4-BE49-F238E27FC236}">
              <a16:creationId xmlns:a16="http://schemas.microsoft.com/office/drawing/2014/main" id="{3580051A-BEA5-421E-AC4C-AAD348BCE9C4}"/>
            </a:ext>
          </a:extLst>
        </xdr:cNvPr>
        <xdr:cNvSpPr/>
      </xdr:nvSpPr>
      <xdr:spPr>
        <a:xfrm>
          <a:off x="4181500" y="4203808"/>
          <a:ext cx="217075" cy="21350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7</xdr:col>
      <xdr:colOff>0</xdr:colOff>
      <xdr:row>19</xdr:row>
      <xdr:rowOff>0</xdr:rowOff>
    </xdr:from>
    <xdr:to>
      <xdr:col>7</xdr:col>
      <xdr:colOff>0</xdr:colOff>
      <xdr:row>29</xdr:row>
      <xdr:rowOff>0</xdr:rowOff>
    </xdr:to>
    <xdr:cxnSp macro="">
      <xdr:nvCxnSpPr>
        <xdr:cNvPr id="51" name="Straight Connector 50">
          <a:extLst>
            <a:ext uri="{FF2B5EF4-FFF2-40B4-BE49-F238E27FC236}">
              <a16:creationId xmlns:a16="http://schemas.microsoft.com/office/drawing/2014/main" id="{D93F7F35-226A-4E8D-A690-0F708A1B2D98}"/>
            </a:ext>
          </a:extLst>
        </xdr:cNvPr>
        <xdr:cNvCxnSpPr/>
      </xdr:nvCxnSpPr>
      <xdr:spPr>
        <a:xfrm>
          <a:off x="4288118" y="3548529"/>
          <a:ext cx="0" cy="1867647"/>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299764</xdr:colOff>
      <xdr:row>12</xdr:row>
      <xdr:rowOff>28249</xdr:rowOff>
    </xdr:from>
    <xdr:to>
      <xdr:col>14</xdr:col>
      <xdr:colOff>585514</xdr:colOff>
      <xdr:row>12</xdr:row>
      <xdr:rowOff>28249</xdr:rowOff>
    </xdr:to>
    <xdr:cxnSp macro="">
      <xdr:nvCxnSpPr>
        <xdr:cNvPr id="52" name="Straight Connector 13">
          <a:extLst>
            <a:ext uri="{FF2B5EF4-FFF2-40B4-BE49-F238E27FC236}">
              <a16:creationId xmlns:a16="http://schemas.microsoft.com/office/drawing/2014/main" id="{C7BF2A30-7FBC-4277-BF28-9708725245FE}"/>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345773</xdr:colOff>
      <xdr:row>17</xdr:row>
      <xdr:rowOff>179294</xdr:rowOff>
    </xdr:from>
    <xdr:to>
      <xdr:col>10</xdr:col>
      <xdr:colOff>7470</xdr:colOff>
      <xdr:row>19</xdr:row>
      <xdr:rowOff>171824</xdr:rowOff>
    </xdr:to>
    <xdr:sp macro="" textlink="">
      <xdr:nvSpPr>
        <xdr:cNvPr id="54" name="TextBox 12">
          <a:extLst>
            <a:ext uri="{FF2B5EF4-FFF2-40B4-BE49-F238E27FC236}">
              <a16:creationId xmlns:a16="http://schemas.microsoft.com/office/drawing/2014/main" id="{E5FB9977-9732-4BCB-896D-E854D3663AA3}"/>
            </a:ext>
          </a:extLst>
        </xdr:cNvPr>
        <xdr:cNvSpPr txBox="1"/>
      </xdr:nvSpPr>
      <xdr:spPr>
        <a:xfrm>
          <a:off x="4633891" y="3354294"/>
          <a:ext cx="1499461" cy="3660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PoC -Test is ordered</a:t>
          </a:r>
        </a:p>
      </xdr:txBody>
    </xdr:sp>
    <xdr:clientData/>
  </xdr:twoCellAnchor>
  <xdr:twoCellAnchor>
    <xdr:from>
      <xdr:col>14</xdr:col>
      <xdr:colOff>598433</xdr:colOff>
      <xdr:row>9</xdr:row>
      <xdr:rowOff>41190</xdr:rowOff>
    </xdr:from>
    <xdr:to>
      <xdr:col>14</xdr:col>
      <xdr:colOff>600918</xdr:colOff>
      <xdr:row>14</xdr:row>
      <xdr:rowOff>179785</xdr:rowOff>
    </xdr:to>
    <xdr:cxnSp macro="">
      <xdr:nvCxnSpPr>
        <xdr:cNvPr id="55" name="Straight Connector 54">
          <a:extLst>
            <a:ext uri="{FF2B5EF4-FFF2-40B4-BE49-F238E27FC236}">
              <a16:creationId xmlns:a16="http://schemas.microsoft.com/office/drawing/2014/main" id="{3585C4AB-0E24-4B60-904B-9A429CC8B238}"/>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483821</xdr:colOff>
      <xdr:row>6</xdr:row>
      <xdr:rowOff>9072</xdr:rowOff>
    </xdr:from>
    <xdr:to>
      <xdr:col>16</xdr:col>
      <xdr:colOff>562430</xdr:colOff>
      <xdr:row>8</xdr:row>
      <xdr:rowOff>90714</xdr:rowOff>
    </xdr:to>
    <xdr:sp macro="" textlink="">
      <xdr:nvSpPr>
        <xdr:cNvPr id="56" name="TextBox 12">
          <a:extLst>
            <a:ext uri="{FF2B5EF4-FFF2-40B4-BE49-F238E27FC236}">
              <a16:creationId xmlns:a16="http://schemas.microsoft.com/office/drawing/2014/main" id="{D076D5F4-ACE2-439D-AF8B-44C3D75BE062}"/>
            </a:ext>
          </a:extLst>
        </xdr:cNvPr>
        <xdr:cNvSpPr txBox="1"/>
      </xdr:nvSpPr>
      <xdr:spPr>
        <a:xfrm>
          <a:off x="5972035" y="1097643"/>
          <a:ext cx="686395" cy="444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GB" sz="900"/>
            <a:t>ticagrelor+ASA </a:t>
          </a:r>
        </a:p>
      </xdr:txBody>
    </xdr:sp>
    <xdr:clientData/>
  </xdr:twoCellAnchor>
  <xdr:twoCellAnchor>
    <xdr:from>
      <xdr:col>14</xdr:col>
      <xdr:colOff>596502</xdr:colOff>
      <xdr:row>14</xdr:row>
      <xdr:rowOff>173417</xdr:rowOff>
    </xdr:from>
    <xdr:to>
      <xdr:col>15</xdr:col>
      <xdr:colOff>187892</xdr:colOff>
      <xdr:row>14</xdr:row>
      <xdr:rowOff>173417</xdr:rowOff>
    </xdr:to>
    <xdr:cxnSp macro="">
      <xdr:nvCxnSpPr>
        <xdr:cNvPr id="57" name="Straight Connector 56">
          <a:extLst>
            <a:ext uri="{FF2B5EF4-FFF2-40B4-BE49-F238E27FC236}">
              <a16:creationId xmlns:a16="http://schemas.microsoft.com/office/drawing/2014/main" id="{D50A6C43-0A48-4103-9225-D5F069026E20}"/>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8980</xdr:colOff>
      <xdr:row>19</xdr:row>
      <xdr:rowOff>6626</xdr:rowOff>
    </xdr:from>
    <xdr:to>
      <xdr:col>7</xdr:col>
      <xdr:colOff>343647</xdr:colOff>
      <xdr:row>19</xdr:row>
      <xdr:rowOff>7471</xdr:rowOff>
    </xdr:to>
    <xdr:cxnSp macro="">
      <xdr:nvCxnSpPr>
        <xdr:cNvPr id="59" name="Straight Connector 82">
          <a:extLst>
            <a:ext uri="{FF2B5EF4-FFF2-40B4-BE49-F238E27FC236}">
              <a16:creationId xmlns:a16="http://schemas.microsoft.com/office/drawing/2014/main" id="{CB04D556-AF78-492D-8A6E-E9349BE0ACC1}"/>
            </a:ext>
          </a:extLst>
        </xdr:cNvPr>
        <xdr:cNvCxnSpPr/>
      </xdr:nvCxnSpPr>
      <xdr:spPr>
        <a:xfrm>
          <a:off x="4297098" y="3555155"/>
          <a:ext cx="334667" cy="8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36287</xdr:colOff>
      <xdr:row>0</xdr:row>
      <xdr:rowOff>92279</xdr:rowOff>
    </xdr:from>
    <xdr:to>
      <xdr:col>26</xdr:col>
      <xdr:colOff>9072</xdr:colOff>
      <xdr:row>2</xdr:row>
      <xdr:rowOff>72572</xdr:rowOff>
    </xdr:to>
    <xdr:sp macro="" textlink="">
      <xdr:nvSpPr>
        <xdr:cNvPr id="63" name="TextBox 12">
          <a:extLst>
            <a:ext uri="{FF2B5EF4-FFF2-40B4-BE49-F238E27FC236}">
              <a16:creationId xmlns:a16="http://schemas.microsoft.com/office/drawing/2014/main" id="{A58D723B-8188-4728-9787-D1F7B3E14BD1}"/>
            </a:ext>
          </a:extLst>
        </xdr:cNvPr>
        <xdr:cNvSpPr txBox="1"/>
      </xdr:nvSpPr>
      <xdr:spPr>
        <a:xfrm>
          <a:off x="1859644" y="92279"/>
          <a:ext cx="12155714" cy="343150"/>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3</xdr:col>
      <xdr:colOff>133948</xdr:colOff>
      <xdr:row>20</xdr:row>
      <xdr:rowOff>83244</xdr:rowOff>
    </xdr:from>
    <xdr:to>
      <xdr:col>6</xdr:col>
      <xdr:colOff>105868</xdr:colOff>
      <xdr:row>25</xdr:row>
      <xdr:rowOff>164886</xdr:rowOff>
    </xdr:to>
    <xdr:sp macro="" textlink="">
      <xdr:nvSpPr>
        <xdr:cNvPr id="64" name="TextBox 12">
          <a:extLst>
            <a:ext uri="{FF2B5EF4-FFF2-40B4-BE49-F238E27FC236}">
              <a16:creationId xmlns:a16="http://schemas.microsoft.com/office/drawing/2014/main" id="{676276D2-E6F1-4EA8-A803-50FBEBB834A2}"/>
            </a:ext>
          </a:extLst>
        </xdr:cNvPr>
        <xdr:cNvSpPr txBox="1"/>
      </xdr:nvSpPr>
      <xdr:spPr>
        <a:xfrm>
          <a:off x="1971713" y="3818538"/>
          <a:ext cx="1809684" cy="10154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Patient with STEMI-ACS undergoing PCI </a:t>
          </a:r>
        </a:p>
      </xdr:txBody>
    </xdr:sp>
    <xdr:clientData/>
  </xdr:twoCellAnchor>
  <xdr:twoCellAnchor>
    <xdr:from>
      <xdr:col>13</xdr:col>
      <xdr:colOff>4073</xdr:colOff>
      <xdr:row>11</xdr:row>
      <xdr:rowOff>50387</xdr:rowOff>
    </xdr:from>
    <xdr:to>
      <xdr:col>14</xdr:col>
      <xdr:colOff>381000</xdr:colOff>
      <xdr:row>13</xdr:row>
      <xdr:rowOff>101599</xdr:rowOff>
    </xdr:to>
    <xdr:sp macro="" textlink="">
      <xdr:nvSpPr>
        <xdr:cNvPr id="66" name="TextBox 12">
          <a:extLst>
            <a:ext uri="{FF2B5EF4-FFF2-40B4-BE49-F238E27FC236}">
              <a16:creationId xmlns:a16="http://schemas.microsoft.com/office/drawing/2014/main" id="{F7682FE4-A20D-436D-AA57-6751EBC3F1AA}"/>
            </a:ext>
          </a:extLst>
        </xdr:cNvPr>
        <xdr:cNvSpPr txBox="1"/>
      </xdr:nvSpPr>
      <xdr:spPr>
        <a:xfrm>
          <a:off x="4283973" y="1707737"/>
          <a:ext cx="986527" cy="4195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GB" sz="1000"/>
            <a:t>test result followed </a:t>
          </a:r>
        </a:p>
      </xdr:txBody>
    </xdr:sp>
    <xdr:clientData/>
  </xdr:twoCellAnchor>
  <xdr:twoCellAnchor>
    <xdr:from>
      <xdr:col>13</xdr:col>
      <xdr:colOff>5774</xdr:colOff>
      <xdr:row>17</xdr:row>
      <xdr:rowOff>3660</xdr:rowOff>
    </xdr:from>
    <xdr:to>
      <xdr:col>14</xdr:col>
      <xdr:colOff>372534</xdr:colOff>
      <xdr:row>19</xdr:row>
      <xdr:rowOff>135466</xdr:rowOff>
    </xdr:to>
    <xdr:sp macro="" textlink="">
      <xdr:nvSpPr>
        <xdr:cNvPr id="70" name="TextBox 12">
          <a:extLst>
            <a:ext uri="{FF2B5EF4-FFF2-40B4-BE49-F238E27FC236}">
              <a16:creationId xmlns:a16="http://schemas.microsoft.com/office/drawing/2014/main" id="{2CA89AD7-F380-4800-A5A8-E5DB6C207D67}"/>
            </a:ext>
          </a:extLst>
        </xdr:cNvPr>
        <xdr:cNvSpPr txBox="1"/>
      </xdr:nvSpPr>
      <xdr:spPr>
        <a:xfrm>
          <a:off x="4285674" y="2765910"/>
          <a:ext cx="976360" cy="5001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00"/>
            <a:t>test result not followed </a:t>
          </a:r>
        </a:p>
      </xdr:txBody>
    </xdr:sp>
    <xdr:clientData/>
  </xdr:twoCellAnchor>
  <xdr:twoCellAnchor>
    <xdr:from>
      <xdr:col>14</xdr:col>
      <xdr:colOff>408222</xdr:colOff>
      <xdr:row>7</xdr:row>
      <xdr:rowOff>149898</xdr:rowOff>
    </xdr:from>
    <xdr:to>
      <xdr:col>15</xdr:col>
      <xdr:colOff>365596</xdr:colOff>
      <xdr:row>8</xdr:row>
      <xdr:rowOff>177679</xdr:rowOff>
    </xdr:to>
    <xdr:sp macro="" textlink="">
      <xdr:nvSpPr>
        <xdr:cNvPr id="75" name="TextBox 12">
          <a:extLst>
            <a:ext uri="{FF2B5EF4-FFF2-40B4-BE49-F238E27FC236}">
              <a16:creationId xmlns:a16="http://schemas.microsoft.com/office/drawing/2014/main" id="{4E2F9161-F88C-4352-8FFD-CCDB9BCA8128}"/>
            </a:ext>
          </a:extLst>
        </xdr:cNvPr>
        <xdr:cNvSpPr txBox="1"/>
      </xdr:nvSpPr>
      <xdr:spPr>
        <a:xfrm>
          <a:off x="5308928" y="1457251"/>
          <a:ext cx="569962" cy="2145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LOF</a:t>
          </a:r>
        </a:p>
      </xdr:txBody>
    </xdr:sp>
    <xdr:clientData/>
  </xdr:twoCellAnchor>
  <xdr:twoCellAnchor>
    <xdr:from>
      <xdr:col>14</xdr:col>
      <xdr:colOff>253466</xdr:colOff>
      <xdr:row>14</xdr:row>
      <xdr:rowOff>139979</xdr:rowOff>
    </xdr:from>
    <xdr:to>
      <xdr:col>15</xdr:col>
      <xdr:colOff>420108</xdr:colOff>
      <xdr:row>16</xdr:row>
      <xdr:rowOff>3025</xdr:rowOff>
    </xdr:to>
    <xdr:sp macro="" textlink="">
      <xdr:nvSpPr>
        <xdr:cNvPr id="76" name="TextBox 12">
          <a:extLst>
            <a:ext uri="{FF2B5EF4-FFF2-40B4-BE49-F238E27FC236}">
              <a16:creationId xmlns:a16="http://schemas.microsoft.com/office/drawing/2014/main" id="{AA5A6CF7-7033-453F-80B4-1F566756066A}"/>
            </a:ext>
          </a:extLst>
        </xdr:cNvPr>
        <xdr:cNvSpPr txBox="1"/>
      </xdr:nvSpPr>
      <xdr:spPr>
        <a:xfrm>
          <a:off x="5133895" y="2317122"/>
          <a:ext cx="774427" cy="2259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No -  LOF</a:t>
          </a:r>
        </a:p>
      </xdr:txBody>
    </xdr:sp>
    <xdr:clientData/>
  </xdr:twoCellAnchor>
  <xdr:twoCellAnchor>
    <xdr:from>
      <xdr:col>15</xdr:col>
      <xdr:colOff>199572</xdr:colOff>
      <xdr:row>7</xdr:row>
      <xdr:rowOff>90714</xdr:rowOff>
    </xdr:from>
    <xdr:to>
      <xdr:col>15</xdr:col>
      <xdr:colOff>208644</xdr:colOff>
      <xdr:row>10</xdr:row>
      <xdr:rowOff>117927</xdr:rowOff>
    </xdr:to>
    <xdr:cxnSp macro="">
      <xdr:nvCxnSpPr>
        <xdr:cNvPr id="83" name="Straight Connector 82">
          <a:extLst>
            <a:ext uri="{FF2B5EF4-FFF2-40B4-BE49-F238E27FC236}">
              <a16:creationId xmlns:a16="http://schemas.microsoft.com/office/drawing/2014/main" id="{C5262231-1AAB-4967-9E30-129266EB7242}"/>
            </a:ext>
          </a:extLst>
        </xdr:cNvPr>
        <xdr:cNvCxnSpPr/>
      </xdr:nvCxnSpPr>
      <xdr:spPr>
        <a:xfrm>
          <a:off x="5687786" y="1360714"/>
          <a:ext cx="9072" cy="57149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113887</xdr:colOff>
      <xdr:row>4</xdr:row>
      <xdr:rowOff>101369</xdr:rowOff>
    </xdr:from>
    <xdr:to>
      <xdr:col>22</xdr:col>
      <xdr:colOff>341054</xdr:colOff>
      <xdr:row>13</xdr:row>
      <xdr:rowOff>90142</xdr:rowOff>
    </xdr:to>
    <xdr:grpSp>
      <xdr:nvGrpSpPr>
        <xdr:cNvPr id="120" name="Group 119">
          <a:extLst>
            <a:ext uri="{FF2B5EF4-FFF2-40B4-BE49-F238E27FC236}">
              <a16:creationId xmlns:a16="http://schemas.microsoft.com/office/drawing/2014/main" id="{619A3DB0-54F7-91ED-3BE3-99BDC051D1CB}"/>
            </a:ext>
          </a:extLst>
        </xdr:cNvPr>
        <xdr:cNvGrpSpPr/>
      </xdr:nvGrpSpPr>
      <xdr:grpSpPr>
        <a:xfrm>
          <a:off x="12216240" y="878310"/>
          <a:ext cx="2916579" cy="1736891"/>
          <a:chOff x="6935612" y="418869"/>
          <a:chExt cx="2658310" cy="1621630"/>
        </a:xfrm>
      </xdr:grpSpPr>
      <xdr:sp macro="" textlink="">
        <xdr:nvSpPr>
          <xdr:cNvPr id="13" name="Rectangle 12">
            <a:extLst>
              <a:ext uri="{FF2B5EF4-FFF2-40B4-BE49-F238E27FC236}">
                <a16:creationId xmlns:a16="http://schemas.microsoft.com/office/drawing/2014/main" id="{88EA6631-86F1-4A75-A2C7-64170867273D}"/>
              </a:ext>
            </a:extLst>
          </xdr:cNvPr>
          <xdr:cNvSpPr/>
        </xdr:nvSpPr>
        <xdr:spPr>
          <a:xfrm>
            <a:off x="6935612" y="418869"/>
            <a:ext cx="2658310" cy="1621630"/>
          </a:xfrm>
          <a:prstGeom prst="rect">
            <a:avLst/>
          </a:prstGeom>
          <a:ln w="19050">
            <a:solidFill>
              <a:schemeClr val="accent2"/>
            </a:solidFill>
            <a:prstDash val="sysDot"/>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xnSp macro="">
        <xdr:nvCxnSpPr>
          <xdr:cNvPr id="77" name="Straight Connector 76">
            <a:extLst>
              <a:ext uri="{FF2B5EF4-FFF2-40B4-BE49-F238E27FC236}">
                <a16:creationId xmlns:a16="http://schemas.microsoft.com/office/drawing/2014/main" id="{4829E64C-6C0B-432D-AEDF-5030D586958F}"/>
              </a:ext>
            </a:extLst>
          </xdr:cNvPr>
          <xdr:cNvCxnSpPr/>
        </xdr:nvCxnSpPr>
        <xdr:spPr>
          <a:xfrm>
            <a:off x="7024131" y="950431"/>
            <a:ext cx="11266" cy="73887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78" name="Straight Connector 77">
            <a:extLst>
              <a:ext uri="{FF2B5EF4-FFF2-40B4-BE49-F238E27FC236}">
                <a16:creationId xmlns:a16="http://schemas.microsoft.com/office/drawing/2014/main" id="{2DF6D080-59AC-443A-9953-F2E0F7EE3DB8}"/>
              </a:ext>
            </a:extLst>
          </xdr:cNvPr>
          <xdr:cNvCxnSpPr/>
        </xdr:nvCxnSpPr>
        <xdr:spPr>
          <a:xfrm>
            <a:off x="7014139" y="941995"/>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80" name="TextBox 12">
            <a:extLst>
              <a:ext uri="{FF2B5EF4-FFF2-40B4-BE49-F238E27FC236}">
                <a16:creationId xmlns:a16="http://schemas.microsoft.com/office/drawing/2014/main" id="{F84C51CD-4092-48F7-80B7-3CFD0E228A81}"/>
              </a:ext>
            </a:extLst>
          </xdr:cNvPr>
          <xdr:cNvSpPr txBox="1"/>
        </xdr:nvSpPr>
        <xdr:spPr>
          <a:xfrm>
            <a:off x="7222049" y="838602"/>
            <a:ext cx="887807" cy="2015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no-bleeding</a:t>
            </a:r>
          </a:p>
        </xdr:txBody>
      </xdr:sp>
      <xdr:sp macro="" textlink="">
        <xdr:nvSpPr>
          <xdr:cNvPr id="81" name="TextBox 12">
            <a:extLst>
              <a:ext uri="{FF2B5EF4-FFF2-40B4-BE49-F238E27FC236}">
                <a16:creationId xmlns:a16="http://schemas.microsoft.com/office/drawing/2014/main" id="{2818FDBD-41D6-41BA-A09E-4508AFBD676F}"/>
              </a:ext>
            </a:extLst>
          </xdr:cNvPr>
          <xdr:cNvSpPr txBox="1"/>
        </xdr:nvSpPr>
        <xdr:spPr>
          <a:xfrm>
            <a:off x="7205117" y="1194403"/>
            <a:ext cx="918852" cy="2198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minor-bleeding</a:t>
            </a:r>
          </a:p>
        </xdr:txBody>
      </xdr:sp>
      <xdr:sp macro="" textlink="">
        <xdr:nvSpPr>
          <xdr:cNvPr id="82" name="TextBox 12">
            <a:extLst>
              <a:ext uri="{FF2B5EF4-FFF2-40B4-BE49-F238E27FC236}">
                <a16:creationId xmlns:a16="http://schemas.microsoft.com/office/drawing/2014/main" id="{430AAE70-196A-4644-A921-0DB7CF1E18DC}"/>
              </a:ext>
            </a:extLst>
          </xdr:cNvPr>
          <xdr:cNvSpPr txBox="1"/>
        </xdr:nvSpPr>
        <xdr:spPr>
          <a:xfrm>
            <a:off x="7216404" y="1554439"/>
            <a:ext cx="918852" cy="219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major-bleeding</a:t>
            </a:r>
          </a:p>
        </xdr:txBody>
      </xdr:sp>
      <xdr:cxnSp macro="">
        <xdr:nvCxnSpPr>
          <xdr:cNvPr id="84" name="Straight Connector 83">
            <a:extLst>
              <a:ext uri="{FF2B5EF4-FFF2-40B4-BE49-F238E27FC236}">
                <a16:creationId xmlns:a16="http://schemas.microsoft.com/office/drawing/2014/main" id="{53AFEC19-6050-48F7-9B41-9C19FCCF9E55}"/>
              </a:ext>
            </a:extLst>
          </xdr:cNvPr>
          <xdr:cNvCxnSpPr/>
        </xdr:nvCxnSpPr>
        <xdr:spPr>
          <a:xfrm>
            <a:off x="7022606" y="1683231"/>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85" name="Oval 17">
            <a:extLst>
              <a:ext uri="{FF2B5EF4-FFF2-40B4-BE49-F238E27FC236}">
                <a16:creationId xmlns:a16="http://schemas.microsoft.com/office/drawing/2014/main" id="{BF41B32E-9B6B-47AB-B00A-0DD9928F2C49}"/>
              </a:ext>
            </a:extLst>
          </xdr:cNvPr>
          <xdr:cNvSpPr/>
        </xdr:nvSpPr>
        <xdr:spPr>
          <a:xfrm>
            <a:off x="6967159" y="1268838"/>
            <a:ext cx="106004" cy="105228"/>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86" name="Right Brace 85">
            <a:extLst>
              <a:ext uri="{FF2B5EF4-FFF2-40B4-BE49-F238E27FC236}">
                <a16:creationId xmlns:a16="http://schemas.microsoft.com/office/drawing/2014/main" id="{B5C17640-7A39-41E3-8547-4E2925184A2E}"/>
              </a:ext>
            </a:extLst>
          </xdr:cNvPr>
          <xdr:cNvSpPr/>
        </xdr:nvSpPr>
        <xdr:spPr>
          <a:xfrm>
            <a:off x="8131024" y="907143"/>
            <a:ext cx="211667" cy="803325"/>
          </a:xfrm>
          <a:prstGeom prst="rightBrace">
            <a:avLst/>
          </a:prstGeom>
          <a:ln w="19050"/>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kern="1200"/>
          </a:p>
        </xdr:txBody>
      </xdr:sp>
      <xdr:grpSp>
        <xdr:nvGrpSpPr>
          <xdr:cNvPr id="87" name="Group 86">
            <a:extLst>
              <a:ext uri="{FF2B5EF4-FFF2-40B4-BE49-F238E27FC236}">
                <a16:creationId xmlns:a16="http://schemas.microsoft.com/office/drawing/2014/main" id="{6C19E039-8944-4320-8114-FC5E215D1815}"/>
              </a:ext>
            </a:extLst>
          </xdr:cNvPr>
          <xdr:cNvGrpSpPr/>
        </xdr:nvGrpSpPr>
        <xdr:grpSpPr>
          <a:xfrm>
            <a:off x="8335635" y="823261"/>
            <a:ext cx="1020997" cy="1017825"/>
            <a:chOff x="8389055" y="824269"/>
            <a:chExt cx="1018981" cy="1029919"/>
          </a:xfrm>
        </xdr:grpSpPr>
        <xdr:cxnSp macro="">
          <xdr:nvCxnSpPr>
            <xdr:cNvPr id="88" name="Straight Connector 87">
              <a:extLst>
                <a:ext uri="{FF2B5EF4-FFF2-40B4-BE49-F238E27FC236}">
                  <a16:creationId xmlns:a16="http://schemas.microsoft.com/office/drawing/2014/main" id="{259FF144-9EB8-210F-292C-E2364990C4F2}"/>
                </a:ext>
              </a:extLst>
            </xdr:cNvPr>
            <xdr:cNvCxnSpPr/>
          </xdr:nvCxnSpPr>
          <xdr:spPr>
            <a:xfrm>
              <a:off x="8502888" y="938387"/>
              <a:ext cx="15437" cy="82550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89" name="Straight Connector 88">
              <a:extLst>
                <a:ext uri="{FF2B5EF4-FFF2-40B4-BE49-F238E27FC236}">
                  <a16:creationId xmlns:a16="http://schemas.microsoft.com/office/drawing/2014/main" id="{C76ECE3B-AB51-A6D9-0D57-1F0BB70CCBB9}"/>
                </a:ext>
              </a:extLst>
            </xdr:cNvPr>
            <xdr:cNvCxnSpPr/>
          </xdr:nvCxnSpPr>
          <xdr:spPr>
            <a:xfrm>
              <a:off x="8500170" y="942402"/>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90" name="Straight Connector 89">
              <a:extLst>
                <a:ext uri="{FF2B5EF4-FFF2-40B4-BE49-F238E27FC236}">
                  <a16:creationId xmlns:a16="http://schemas.microsoft.com/office/drawing/2014/main" id="{88391FA3-1F10-94F0-EEBB-6B49C470180C}"/>
                </a:ext>
              </a:extLst>
            </xdr:cNvPr>
            <xdr:cNvCxnSpPr/>
          </xdr:nvCxnSpPr>
          <xdr:spPr>
            <a:xfrm>
              <a:off x="8503070" y="1475491"/>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91" name="Straight Connector 90">
              <a:extLst>
                <a:ext uri="{FF2B5EF4-FFF2-40B4-BE49-F238E27FC236}">
                  <a16:creationId xmlns:a16="http://schemas.microsoft.com/office/drawing/2014/main" id="{A0DA5ED6-C30E-DF5A-B2BB-56B1549EF204}"/>
                </a:ext>
              </a:extLst>
            </xdr:cNvPr>
            <xdr:cNvCxnSpPr/>
          </xdr:nvCxnSpPr>
          <xdr:spPr>
            <a:xfrm>
              <a:off x="8516098" y="1759419"/>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92" name="TextBox 12">
              <a:extLst>
                <a:ext uri="{FF2B5EF4-FFF2-40B4-BE49-F238E27FC236}">
                  <a16:creationId xmlns:a16="http://schemas.microsoft.com/office/drawing/2014/main" id="{90D05638-6634-A950-6379-45C1D395B36A}"/>
                </a:ext>
              </a:extLst>
            </xdr:cNvPr>
            <xdr:cNvSpPr txBox="1"/>
          </xdr:nvSpPr>
          <xdr:spPr>
            <a:xfrm>
              <a:off x="8725331" y="82426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 event</a:t>
              </a:r>
            </a:p>
          </xdr:txBody>
        </xdr:sp>
        <xdr:cxnSp macro="">
          <xdr:nvCxnSpPr>
            <xdr:cNvPr id="93" name="Straight Connector 92">
              <a:extLst>
                <a:ext uri="{FF2B5EF4-FFF2-40B4-BE49-F238E27FC236}">
                  <a16:creationId xmlns:a16="http://schemas.microsoft.com/office/drawing/2014/main" id="{A0B8394E-7D87-5B61-A1EA-F360518694BD}"/>
                </a:ext>
              </a:extLst>
            </xdr:cNvPr>
            <xdr:cNvCxnSpPr>
              <a:cxnSpLocks/>
            </xdr:cNvCxnSpPr>
          </xdr:nvCxnSpPr>
          <xdr:spPr>
            <a:xfrm>
              <a:off x="8509000" y="1192387"/>
              <a:ext cx="221699" cy="5694"/>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94" name="TextBox 12">
              <a:extLst>
                <a:ext uri="{FF2B5EF4-FFF2-40B4-BE49-F238E27FC236}">
                  <a16:creationId xmlns:a16="http://schemas.microsoft.com/office/drawing/2014/main" id="{3160E802-D226-5011-B08C-8C95E4BD13A7}"/>
                </a:ext>
              </a:extLst>
            </xdr:cNvPr>
            <xdr:cNvSpPr txBox="1"/>
          </xdr:nvSpPr>
          <xdr:spPr>
            <a:xfrm>
              <a:off x="8732558" y="109047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GB" sz="700">
                  <a:solidFill>
                    <a:schemeClr val="dk1"/>
                  </a:solidFill>
                  <a:latin typeface="+mn-lt"/>
                  <a:ea typeface="+mn-ea"/>
                  <a:cs typeface="+mn-cs"/>
                </a:rPr>
                <a:t>Reinfarction</a:t>
              </a:r>
            </a:p>
          </xdr:txBody>
        </xdr:sp>
        <xdr:sp macro="" textlink="">
          <xdr:nvSpPr>
            <xdr:cNvPr id="95" name="TextBox 12">
              <a:extLst>
                <a:ext uri="{FF2B5EF4-FFF2-40B4-BE49-F238E27FC236}">
                  <a16:creationId xmlns:a16="http://schemas.microsoft.com/office/drawing/2014/main" id="{33B3E53C-B5CB-6F69-1ADF-2B5C3A82E827}"/>
                </a:ext>
              </a:extLst>
            </xdr:cNvPr>
            <xdr:cNvSpPr txBox="1"/>
          </xdr:nvSpPr>
          <xdr:spPr>
            <a:xfrm>
              <a:off x="8724126" y="1372521"/>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Stroke</a:t>
              </a:r>
            </a:p>
          </xdr:txBody>
        </xdr:sp>
        <xdr:sp macro="" textlink="">
          <xdr:nvSpPr>
            <xdr:cNvPr id="96" name="TextBox 12">
              <a:extLst>
                <a:ext uri="{FF2B5EF4-FFF2-40B4-BE49-F238E27FC236}">
                  <a16:creationId xmlns:a16="http://schemas.microsoft.com/office/drawing/2014/main" id="{EB5902BA-DAA4-5C24-B711-8FA0FFFB6AB2}"/>
                </a:ext>
              </a:extLst>
            </xdr:cNvPr>
            <xdr:cNvSpPr txBox="1"/>
          </xdr:nvSpPr>
          <xdr:spPr>
            <a:xfrm>
              <a:off x="8737153" y="1645437"/>
              <a:ext cx="670883" cy="2087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Death</a:t>
              </a:r>
            </a:p>
          </xdr:txBody>
        </xdr:sp>
        <xdr:cxnSp macro="">
          <xdr:nvCxnSpPr>
            <xdr:cNvPr id="97" name="Straight Connector 13">
              <a:extLst>
                <a:ext uri="{FF2B5EF4-FFF2-40B4-BE49-F238E27FC236}">
                  <a16:creationId xmlns:a16="http://schemas.microsoft.com/office/drawing/2014/main" id="{5F615A8C-8CBC-511E-445E-AB9F61EEC072}"/>
                </a:ext>
              </a:extLst>
            </xdr:cNvPr>
            <xdr:cNvCxnSpPr/>
          </xdr:nvCxnSpPr>
          <xdr:spPr>
            <a:xfrm>
              <a:off x="8389055" y="1312334"/>
              <a:ext cx="126903" cy="27"/>
            </a:xfrm>
            <a:prstGeom prst="line">
              <a:avLst/>
            </a:prstGeom>
            <a:ln w="19050"/>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7</xdr:col>
      <xdr:colOff>370828</xdr:colOff>
      <xdr:row>25</xdr:row>
      <xdr:rowOff>111680</xdr:rowOff>
    </xdr:from>
    <xdr:to>
      <xdr:col>13</xdr:col>
      <xdr:colOff>440551</xdr:colOff>
      <xdr:row>31</xdr:row>
      <xdr:rowOff>161020</xdr:rowOff>
    </xdr:to>
    <xdr:grpSp>
      <xdr:nvGrpSpPr>
        <xdr:cNvPr id="98" name="Group 97">
          <a:extLst>
            <a:ext uri="{FF2B5EF4-FFF2-40B4-BE49-F238E27FC236}">
              <a16:creationId xmlns:a16="http://schemas.microsoft.com/office/drawing/2014/main" id="{2396510D-D19F-4C01-9F48-4CF1D0A9BD93}"/>
            </a:ext>
          </a:extLst>
        </xdr:cNvPr>
        <xdr:cNvGrpSpPr/>
      </xdr:nvGrpSpPr>
      <xdr:grpSpPr>
        <a:xfrm>
          <a:off x="5077299" y="4967562"/>
          <a:ext cx="4103840" cy="1214752"/>
          <a:chOff x="3459223" y="3149355"/>
          <a:chExt cx="4140001" cy="1232661"/>
        </a:xfrm>
      </xdr:grpSpPr>
      <xdr:sp macro="" textlink="">
        <xdr:nvSpPr>
          <xdr:cNvPr id="99" name="TextBox 12">
            <a:extLst>
              <a:ext uri="{FF2B5EF4-FFF2-40B4-BE49-F238E27FC236}">
                <a16:creationId xmlns:a16="http://schemas.microsoft.com/office/drawing/2014/main" id="{7F051D68-28DB-4981-9248-89D218DC39C3}"/>
              </a:ext>
            </a:extLst>
          </xdr:cNvPr>
          <xdr:cNvSpPr txBox="1"/>
        </xdr:nvSpPr>
        <xdr:spPr>
          <a:xfrm>
            <a:off x="3459223" y="3615909"/>
            <a:ext cx="1730889" cy="395145"/>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grpSp>
        <xdr:nvGrpSpPr>
          <xdr:cNvPr id="100" name="Group 99">
            <a:extLst>
              <a:ext uri="{FF2B5EF4-FFF2-40B4-BE49-F238E27FC236}">
                <a16:creationId xmlns:a16="http://schemas.microsoft.com/office/drawing/2014/main" id="{0D977950-5ED6-AD5F-0A22-C8281ABD4C9A}"/>
              </a:ext>
            </a:extLst>
          </xdr:cNvPr>
          <xdr:cNvGrpSpPr/>
        </xdr:nvGrpSpPr>
        <xdr:grpSpPr>
          <a:xfrm>
            <a:off x="5149887" y="3149355"/>
            <a:ext cx="2449337" cy="1232661"/>
            <a:chOff x="5149887" y="3149355"/>
            <a:chExt cx="2449337" cy="1232661"/>
          </a:xfrm>
        </xdr:grpSpPr>
        <xdr:sp macro="" textlink="">
          <xdr:nvSpPr>
            <xdr:cNvPr id="101" name="Oval 18">
              <a:extLst>
                <a:ext uri="{FF2B5EF4-FFF2-40B4-BE49-F238E27FC236}">
                  <a16:creationId xmlns:a16="http://schemas.microsoft.com/office/drawing/2014/main" id="{6375FEE3-5911-3D47-C14F-F25799843E20}"/>
                </a:ext>
              </a:extLst>
            </xdr:cNvPr>
            <xdr:cNvSpPr/>
          </xdr:nvSpPr>
          <xdr:spPr>
            <a:xfrm>
              <a:off x="5715070" y="3739389"/>
              <a:ext cx="107950" cy="106364"/>
            </a:xfrm>
            <a:prstGeom prst="ellipse">
              <a:avLst/>
            </a:prstGeom>
            <a:solidFill>
              <a:srgbClr val="5B9BD5"/>
            </a:solidFill>
            <a:ln w="12700" cap="flat" cmpd="sng" algn="ctr">
              <a:no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n-GB" sz="1100" b="0" i="0" u="none" strike="noStrike" kern="0" cap="none" spc="0" normalizeH="0" baseline="0" noProof="0">
                <a:ln>
                  <a:noFill/>
                </a:ln>
                <a:solidFill>
                  <a:sysClr val="window" lastClr="FFFFFF"/>
                </a:solidFill>
                <a:effectLst/>
                <a:uLnTx/>
                <a:uFillTx/>
                <a:latin typeface="Calibri" panose="020F0502020204030204"/>
                <a:ea typeface="+mn-ea"/>
                <a:cs typeface="+mn-cs"/>
              </a:endParaRPr>
            </a:p>
          </xdr:txBody>
        </xdr:sp>
        <xdr:grpSp>
          <xdr:nvGrpSpPr>
            <xdr:cNvPr id="102" name="Group 101">
              <a:extLst>
                <a:ext uri="{FF2B5EF4-FFF2-40B4-BE49-F238E27FC236}">
                  <a16:creationId xmlns:a16="http://schemas.microsoft.com/office/drawing/2014/main" id="{5124A0E3-3FE7-5090-B2D2-518B6770F0B9}"/>
                </a:ext>
              </a:extLst>
            </xdr:cNvPr>
            <xdr:cNvGrpSpPr/>
          </xdr:nvGrpSpPr>
          <xdr:grpSpPr>
            <a:xfrm>
              <a:off x="5149887" y="3149355"/>
              <a:ext cx="2449337" cy="1232661"/>
              <a:chOff x="3538574" y="2827886"/>
              <a:chExt cx="2449337" cy="1232661"/>
            </a:xfrm>
          </xdr:grpSpPr>
          <xdr:cxnSp macro="">
            <xdr:nvCxnSpPr>
              <xdr:cNvPr id="103" name="Straight Connector 13">
                <a:extLst>
                  <a:ext uri="{FF2B5EF4-FFF2-40B4-BE49-F238E27FC236}">
                    <a16:creationId xmlns:a16="http://schemas.microsoft.com/office/drawing/2014/main" id="{98D8A6EE-CFC1-0FB4-8431-E2FD279DE50F}"/>
                  </a:ext>
                </a:extLst>
              </xdr:cNvPr>
              <xdr:cNvCxnSpPr>
                <a:endCxn id="101" idx="2"/>
              </xdr:cNvCxnSpPr>
            </xdr:nvCxnSpPr>
            <xdr:spPr>
              <a:xfrm flipV="1">
                <a:off x="3538574" y="3471102"/>
                <a:ext cx="565183" cy="2293"/>
              </a:xfrm>
              <a:prstGeom prst="line">
                <a:avLst/>
              </a:prstGeom>
              <a:noFill/>
              <a:ln w="19050" cap="flat" cmpd="sng" algn="ctr">
                <a:solidFill>
                  <a:srgbClr val="5B9BD5"/>
                </a:solidFill>
                <a:prstDash val="solid"/>
                <a:miter lim="800000"/>
              </a:ln>
              <a:effectLst/>
            </xdr:spPr>
          </xdr:cxnSp>
          <xdr:cxnSp macro="">
            <xdr:nvCxnSpPr>
              <xdr:cNvPr id="104" name="Straight Connector 103">
                <a:extLst>
                  <a:ext uri="{FF2B5EF4-FFF2-40B4-BE49-F238E27FC236}">
                    <a16:creationId xmlns:a16="http://schemas.microsoft.com/office/drawing/2014/main" id="{C8386FA0-3D65-7E7C-0DE3-C8996BD87903}"/>
                  </a:ext>
                </a:extLst>
              </xdr:cNvPr>
              <xdr:cNvCxnSpPr/>
            </xdr:nvCxnSpPr>
            <xdr:spPr>
              <a:xfrm>
                <a:off x="4150760" y="2917895"/>
                <a:ext cx="2485" cy="1051753"/>
              </a:xfrm>
              <a:prstGeom prst="line">
                <a:avLst/>
              </a:prstGeom>
              <a:noFill/>
              <a:ln w="19050" cap="flat" cmpd="sng" algn="ctr">
                <a:solidFill>
                  <a:srgbClr val="5B9BD5"/>
                </a:solidFill>
                <a:prstDash val="solid"/>
                <a:miter lim="800000"/>
              </a:ln>
              <a:effectLst/>
            </xdr:spPr>
          </xdr:cxnSp>
          <xdr:cxnSp macro="">
            <xdr:nvCxnSpPr>
              <xdr:cNvPr id="105" name="Straight Connector 104">
                <a:extLst>
                  <a:ext uri="{FF2B5EF4-FFF2-40B4-BE49-F238E27FC236}">
                    <a16:creationId xmlns:a16="http://schemas.microsoft.com/office/drawing/2014/main" id="{A13B2049-E9F7-8AA3-451D-0E8AB14C99A1}"/>
                  </a:ext>
                </a:extLst>
              </xdr:cNvPr>
              <xdr:cNvCxnSpPr/>
            </xdr:nvCxnSpPr>
            <xdr:spPr>
              <a:xfrm>
                <a:off x="4153245" y="2924312"/>
                <a:ext cx="202577" cy="0"/>
              </a:xfrm>
              <a:prstGeom prst="line">
                <a:avLst/>
              </a:prstGeom>
              <a:noFill/>
              <a:ln w="19050" cap="flat" cmpd="sng" algn="ctr">
                <a:solidFill>
                  <a:srgbClr val="5B9BD5"/>
                </a:solidFill>
                <a:prstDash val="solid"/>
                <a:miter lim="800000"/>
              </a:ln>
              <a:effectLst/>
            </xdr:spPr>
          </xdr:cxnSp>
          <xdr:cxnSp macro="">
            <xdr:nvCxnSpPr>
              <xdr:cNvPr id="106" name="Straight Connector 105">
                <a:extLst>
                  <a:ext uri="{FF2B5EF4-FFF2-40B4-BE49-F238E27FC236}">
                    <a16:creationId xmlns:a16="http://schemas.microsoft.com/office/drawing/2014/main" id="{B4493ADB-4E5C-D2C7-2BE8-913F1632402E}"/>
                  </a:ext>
                </a:extLst>
              </xdr:cNvPr>
              <xdr:cNvCxnSpPr/>
            </xdr:nvCxnSpPr>
            <xdr:spPr>
              <a:xfrm>
                <a:off x="4167601" y="3475313"/>
                <a:ext cx="202577" cy="0"/>
              </a:xfrm>
              <a:prstGeom prst="line">
                <a:avLst/>
              </a:prstGeom>
              <a:noFill/>
              <a:ln w="19050" cap="flat" cmpd="sng" algn="ctr">
                <a:solidFill>
                  <a:srgbClr val="5B9BD5"/>
                </a:solidFill>
                <a:prstDash val="solid"/>
                <a:miter lim="800000"/>
              </a:ln>
              <a:effectLst/>
            </xdr:spPr>
          </xdr:cxnSp>
          <xdr:cxnSp macro="">
            <xdr:nvCxnSpPr>
              <xdr:cNvPr id="107" name="Straight Connector 106">
                <a:extLst>
                  <a:ext uri="{FF2B5EF4-FFF2-40B4-BE49-F238E27FC236}">
                    <a16:creationId xmlns:a16="http://schemas.microsoft.com/office/drawing/2014/main" id="{C8F943AF-DB17-D68E-E53E-597370A95031}"/>
                  </a:ext>
                </a:extLst>
              </xdr:cNvPr>
              <xdr:cNvCxnSpPr/>
            </xdr:nvCxnSpPr>
            <xdr:spPr>
              <a:xfrm>
                <a:off x="4151036" y="3961916"/>
                <a:ext cx="202577" cy="0"/>
              </a:xfrm>
              <a:prstGeom prst="line">
                <a:avLst/>
              </a:prstGeom>
              <a:noFill/>
              <a:ln w="19050" cap="flat" cmpd="sng" algn="ctr">
                <a:solidFill>
                  <a:srgbClr val="5B9BD5"/>
                </a:solidFill>
                <a:prstDash val="solid"/>
                <a:miter lim="800000"/>
              </a:ln>
              <a:effectLst/>
            </xdr:spPr>
          </xdr:cxnSp>
          <xdr:sp macro="" textlink="">
            <xdr:nvSpPr>
              <xdr:cNvPr id="108" name="TextBox 12">
                <a:extLst>
                  <a:ext uri="{FF2B5EF4-FFF2-40B4-BE49-F238E27FC236}">
                    <a16:creationId xmlns:a16="http://schemas.microsoft.com/office/drawing/2014/main" id="{D6D49E1F-F8A2-37AB-DBD1-A0560D5B6735}"/>
                  </a:ext>
                </a:extLst>
              </xdr:cNvPr>
              <xdr:cNvSpPr txBox="1"/>
            </xdr:nvSpPr>
            <xdr:spPr>
              <a:xfrm>
                <a:off x="4367419" y="2827886"/>
                <a:ext cx="1172128" cy="201340"/>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clopidogrel + ASA</a:t>
                </a:r>
              </a:p>
            </xdr:txBody>
          </xdr:sp>
          <xdr:sp macro="" textlink="">
            <xdr:nvSpPr>
              <xdr:cNvPr id="109" name="TextBox 12">
                <a:extLst>
                  <a:ext uri="{FF2B5EF4-FFF2-40B4-BE49-F238E27FC236}">
                    <a16:creationId xmlns:a16="http://schemas.microsoft.com/office/drawing/2014/main" id="{C2E20633-3176-4BCD-680E-A49CF032D90B}"/>
                  </a:ext>
                </a:extLst>
              </xdr:cNvPr>
              <xdr:cNvSpPr txBox="1"/>
            </xdr:nvSpPr>
            <xdr:spPr>
              <a:xfrm>
                <a:off x="4381775" y="3378887"/>
                <a:ext cx="1172128" cy="201341"/>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ticagrelor + ASA</a:t>
                </a:r>
              </a:p>
            </xdr:txBody>
          </xdr:sp>
          <xdr:sp macro="" textlink="">
            <xdr:nvSpPr>
              <xdr:cNvPr id="110" name="TextBox 12">
                <a:extLst>
                  <a:ext uri="{FF2B5EF4-FFF2-40B4-BE49-F238E27FC236}">
                    <a16:creationId xmlns:a16="http://schemas.microsoft.com/office/drawing/2014/main" id="{7420EB7C-7A4B-6DA4-F636-739ECDD1ECD8}"/>
                  </a:ext>
                </a:extLst>
              </xdr:cNvPr>
              <xdr:cNvSpPr txBox="1"/>
            </xdr:nvSpPr>
            <xdr:spPr>
              <a:xfrm>
                <a:off x="4363001" y="3858106"/>
                <a:ext cx="1172128" cy="201339"/>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prasugrel + ASA</a:t>
                </a:r>
              </a:p>
            </xdr:txBody>
          </xdr:sp>
          <xdr:cxnSp macro="">
            <xdr:nvCxnSpPr>
              <xdr:cNvPr id="111" name="Straight Connector 110">
                <a:extLst>
                  <a:ext uri="{FF2B5EF4-FFF2-40B4-BE49-F238E27FC236}">
                    <a16:creationId xmlns:a16="http://schemas.microsoft.com/office/drawing/2014/main" id="{6DFAA646-D9E9-60EF-3F19-E93A91DC438B}"/>
                  </a:ext>
                </a:extLst>
              </xdr:cNvPr>
              <xdr:cNvCxnSpPr/>
            </xdr:nvCxnSpPr>
            <xdr:spPr>
              <a:xfrm>
                <a:off x="5529606" y="2925416"/>
                <a:ext cx="198782" cy="0"/>
              </a:xfrm>
              <a:prstGeom prst="line">
                <a:avLst/>
              </a:prstGeom>
              <a:noFill/>
              <a:ln w="19050" cap="flat" cmpd="sng" algn="ctr">
                <a:solidFill>
                  <a:srgbClr val="5B9BD5"/>
                </a:solidFill>
                <a:prstDash val="solid"/>
                <a:miter lim="800000"/>
              </a:ln>
              <a:effectLst/>
            </xdr:spPr>
          </xdr:cxnSp>
          <xdr:sp macro="" textlink="">
            <xdr:nvSpPr>
              <xdr:cNvPr id="112" name="Oval 17">
                <a:extLst>
                  <a:ext uri="{FF2B5EF4-FFF2-40B4-BE49-F238E27FC236}">
                    <a16:creationId xmlns:a16="http://schemas.microsoft.com/office/drawing/2014/main" id="{9B4FE2FF-D319-A52F-AD63-ADB4EF15232D}"/>
                  </a:ext>
                </a:extLst>
              </xdr:cNvPr>
              <xdr:cNvSpPr/>
            </xdr:nvSpPr>
            <xdr:spPr>
              <a:xfrm>
                <a:off x="5739985" y="2833411"/>
                <a:ext cx="228048" cy="202440"/>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cxnSp macro="">
            <xdr:nvCxnSpPr>
              <xdr:cNvPr id="113" name="Straight Connector 112">
                <a:extLst>
                  <a:ext uri="{FF2B5EF4-FFF2-40B4-BE49-F238E27FC236}">
                    <a16:creationId xmlns:a16="http://schemas.microsoft.com/office/drawing/2014/main" id="{68C95C1B-A028-B67A-C40D-2DEEE952E19F}"/>
                  </a:ext>
                </a:extLst>
              </xdr:cNvPr>
              <xdr:cNvCxnSpPr/>
            </xdr:nvCxnSpPr>
            <xdr:spPr>
              <a:xfrm>
                <a:off x="5549484" y="3481939"/>
                <a:ext cx="198782" cy="0"/>
              </a:xfrm>
              <a:prstGeom prst="line">
                <a:avLst/>
              </a:prstGeom>
              <a:noFill/>
              <a:ln w="19050" cap="flat" cmpd="sng" algn="ctr">
                <a:solidFill>
                  <a:srgbClr val="5B9BD5"/>
                </a:solidFill>
                <a:prstDash val="solid"/>
                <a:miter lim="800000"/>
              </a:ln>
              <a:effectLst/>
            </xdr:spPr>
          </xdr:cxnSp>
          <xdr:sp macro="" textlink="">
            <xdr:nvSpPr>
              <xdr:cNvPr id="114" name="Oval 17">
                <a:extLst>
                  <a:ext uri="{FF2B5EF4-FFF2-40B4-BE49-F238E27FC236}">
                    <a16:creationId xmlns:a16="http://schemas.microsoft.com/office/drawing/2014/main" id="{70B7BC9A-018A-CABA-6CFB-88D0F11A241C}"/>
                  </a:ext>
                </a:extLst>
              </xdr:cNvPr>
              <xdr:cNvSpPr/>
            </xdr:nvSpPr>
            <xdr:spPr>
              <a:xfrm>
                <a:off x="5759863" y="3389933"/>
                <a:ext cx="228048" cy="202441"/>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cxnSp macro="">
            <xdr:nvCxnSpPr>
              <xdr:cNvPr id="115" name="Straight Connector 114">
                <a:extLst>
                  <a:ext uri="{FF2B5EF4-FFF2-40B4-BE49-F238E27FC236}">
                    <a16:creationId xmlns:a16="http://schemas.microsoft.com/office/drawing/2014/main" id="{D790FFDD-5179-4BB9-0DF1-9857FDB77DF0}"/>
                  </a:ext>
                </a:extLst>
              </xdr:cNvPr>
              <xdr:cNvCxnSpPr/>
            </xdr:nvCxnSpPr>
            <xdr:spPr>
              <a:xfrm>
                <a:off x="5536232" y="3949768"/>
                <a:ext cx="198782" cy="0"/>
              </a:xfrm>
              <a:prstGeom prst="line">
                <a:avLst/>
              </a:prstGeom>
              <a:noFill/>
              <a:ln w="19050" cap="flat" cmpd="sng" algn="ctr">
                <a:solidFill>
                  <a:srgbClr val="5B9BD5"/>
                </a:solidFill>
                <a:prstDash val="solid"/>
                <a:miter lim="800000"/>
              </a:ln>
              <a:effectLst/>
            </xdr:spPr>
          </xdr:cxnSp>
          <xdr:sp macro="" textlink="">
            <xdr:nvSpPr>
              <xdr:cNvPr id="116" name="Oval 17">
                <a:extLst>
                  <a:ext uri="{FF2B5EF4-FFF2-40B4-BE49-F238E27FC236}">
                    <a16:creationId xmlns:a16="http://schemas.microsoft.com/office/drawing/2014/main" id="{DB92DE62-3277-4370-D291-91B3297A7A9A}"/>
                  </a:ext>
                </a:extLst>
              </xdr:cNvPr>
              <xdr:cNvSpPr/>
            </xdr:nvSpPr>
            <xdr:spPr>
              <a:xfrm>
                <a:off x="5746611" y="3858108"/>
                <a:ext cx="228048" cy="202439"/>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grpSp>
      </xdr:grpSp>
    </xdr:grpSp>
    <xdr:clientData/>
  </xdr:twoCellAnchor>
  <xdr:twoCellAnchor>
    <xdr:from>
      <xdr:col>16</xdr:col>
      <xdr:colOff>577331</xdr:colOff>
      <xdr:row>9</xdr:row>
      <xdr:rowOff>167107</xdr:rowOff>
    </xdr:from>
    <xdr:to>
      <xdr:col>17</xdr:col>
      <xdr:colOff>407972</xdr:colOff>
      <xdr:row>11</xdr:row>
      <xdr:rowOff>5556</xdr:rowOff>
    </xdr:to>
    <xdr:grpSp>
      <xdr:nvGrpSpPr>
        <xdr:cNvPr id="124" name="Group 123">
          <a:extLst>
            <a:ext uri="{FF2B5EF4-FFF2-40B4-BE49-F238E27FC236}">
              <a16:creationId xmlns:a16="http://schemas.microsoft.com/office/drawing/2014/main" id="{04DB5BDE-15D0-45AA-A24C-311EB2D5DB09}"/>
            </a:ext>
          </a:extLst>
        </xdr:cNvPr>
        <xdr:cNvGrpSpPr/>
      </xdr:nvGrpSpPr>
      <xdr:grpSpPr>
        <a:xfrm>
          <a:off x="11334978" y="1915225"/>
          <a:ext cx="502994" cy="226919"/>
          <a:chOff x="5547528" y="2332836"/>
          <a:chExt cx="438427" cy="206643"/>
        </a:xfrm>
      </xdr:grpSpPr>
      <xdr:cxnSp macro="">
        <xdr:nvCxnSpPr>
          <xdr:cNvPr id="125" name="Straight Connector 124">
            <a:extLst>
              <a:ext uri="{FF2B5EF4-FFF2-40B4-BE49-F238E27FC236}">
                <a16:creationId xmlns:a16="http://schemas.microsoft.com/office/drawing/2014/main" id="{BA712F03-077D-B000-EE17-D89A278540E0}"/>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26" name="Oval 17">
            <a:extLst>
              <a:ext uri="{FF2B5EF4-FFF2-40B4-BE49-F238E27FC236}">
                <a16:creationId xmlns:a16="http://schemas.microsoft.com/office/drawing/2014/main" id="{1F0027D3-3396-8E49-EF0F-67A9686ECE90}"/>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17</xdr:col>
      <xdr:colOff>131017</xdr:colOff>
      <xdr:row>14</xdr:row>
      <xdr:rowOff>65506</xdr:rowOff>
    </xdr:from>
    <xdr:to>
      <xdr:col>17</xdr:col>
      <xdr:colOff>569444</xdr:colOff>
      <xdr:row>15</xdr:row>
      <xdr:rowOff>85384</xdr:rowOff>
    </xdr:to>
    <xdr:grpSp>
      <xdr:nvGrpSpPr>
        <xdr:cNvPr id="127" name="Group 126">
          <a:extLst>
            <a:ext uri="{FF2B5EF4-FFF2-40B4-BE49-F238E27FC236}">
              <a16:creationId xmlns:a16="http://schemas.microsoft.com/office/drawing/2014/main" id="{1BF015FC-19A8-4821-BD68-1B1F13040B7A}"/>
            </a:ext>
          </a:extLst>
        </xdr:cNvPr>
        <xdr:cNvGrpSpPr/>
      </xdr:nvGrpSpPr>
      <xdr:grpSpPr>
        <a:xfrm>
          <a:off x="11561017" y="2784800"/>
          <a:ext cx="438427" cy="214113"/>
          <a:chOff x="5547528" y="2332836"/>
          <a:chExt cx="438427" cy="206643"/>
        </a:xfrm>
      </xdr:grpSpPr>
      <xdr:cxnSp macro="">
        <xdr:nvCxnSpPr>
          <xdr:cNvPr id="128" name="Straight Connector 127">
            <a:extLst>
              <a:ext uri="{FF2B5EF4-FFF2-40B4-BE49-F238E27FC236}">
                <a16:creationId xmlns:a16="http://schemas.microsoft.com/office/drawing/2014/main" id="{CBD9AFD0-3806-AD27-172F-DEEA475D7309}"/>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29" name="Oval 17">
            <a:extLst>
              <a:ext uri="{FF2B5EF4-FFF2-40B4-BE49-F238E27FC236}">
                <a16:creationId xmlns:a16="http://schemas.microsoft.com/office/drawing/2014/main" id="{7B1D524A-0BA1-5784-26B9-B1969AAB74D0}"/>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15</xdr:col>
      <xdr:colOff>491077</xdr:colOff>
      <xdr:row>9</xdr:row>
      <xdr:rowOff>127000</xdr:rowOff>
    </xdr:from>
    <xdr:to>
      <xdr:col>16</xdr:col>
      <xdr:colOff>571500</xdr:colOff>
      <xdr:row>12</xdr:row>
      <xdr:rowOff>27213</xdr:rowOff>
    </xdr:to>
    <xdr:sp macro="" textlink="">
      <xdr:nvSpPr>
        <xdr:cNvPr id="136" name="TextBox 12">
          <a:extLst>
            <a:ext uri="{FF2B5EF4-FFF2-40B4-BE49-F238E27FC236}">
              <a16:creationId xmlns:a16="http://schemas.microsoft.com/office/drawing/2014/main" id="{6D6E8888-F880-44E3-9FEC-40806286378F}"/>
            </a:ext>
          </a:extLst>
        </xdr:cNvPr>
        <xdr:cNvSpPr txBox="1"/>
      </xdr:nvSpPr>
      <xdr:spPr>
        <a:xfrm>
          <a:off x="5979291" y="1759857"/>
          <a:ext cx="688209" cy="4444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prasugrel</a:t>
          </a:r>
          <a:r>
            <a:rPr lang="en-GB" sz="900" baseline="0"/>
            <a:t> +ASA</a:t>
          </a:r>
          <a:endParaRPr lang="en-GB" sz="900"/>
        </a:p>
      </xdr:txBody>
    </xdr:sp>
    <xdr:clientData/>
  </xdr:twoCellAnchor>
  <xdr:twoCellAnchor>
    <xdr:from>
      <xdr:col>15</xdr:col>
      <xdr:colOff>189906</xdr:colOff>
      <xdr:row>14</xdr:row>
      <xdr:rowOff>14513</xdr:rowOff>
    </xdr:from>
    <xdr:to>
      <xdr:col>17</xdr:col>
      <xdr:colOff>130426</xdr:colOff>
      <xdr:row>15</xdr:row>
      <xdr:rowOff>105229</xdr:rowOff>
    </xdr:to>
    <xdr:sp macro="" textlink="">
      <xdr:nvSpPr>
        <xdr:cNvPr id="137" name="TextBox 12">
          <a:extLst>
            <a:ext uri="{FF2B5EF4-FFF2-40B4-BE49-F238E27FC236}">
              <a16:creationId xmlns:a16="http://schemas.microsoft.com/office/drawing/2014/main" id="{8B184925-C50C-46BC-A5BE-AC5BA1F17CF9}"/>
            </a:ext>
          </a:extLst>
        </xdr:cNvPr>
        <xdr:cNvSpPr txBox="1"/>
      </xdr:nvSpPr>
      <xdr:spPr>
        <a:xfrm>
          <a:off x="5678120" y="2554513"/>
          <a:ext cx="1156092" cy="2721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Clopidogrel +ASA</a:t>
          </a:r>
        </a:p>
      </xdr:txBody>
    </xdr:sp>
    <xdr:clientData/>
  </xdr:twoCellAnchor>
  <xdr:twoCellAnchor>
    <xdr:from>
      <xdr:col>7</xdr:col>
      <xdr:colOff>7472</xdr:colOff>
      <xdr:row>29</xdr:row>
      <xdr:rowOff>0</xdr:rowOff>
    </xdr:from>
    <xdr:to>
      <xdr:col>7</xdr:col>
      <xdr:colOff>373530</xdr:colOff>
      <xdr:row>29</xdr:row>
      <xdr:rowOff>1</xdr:rowOff>
    </xdr:to>
    <xdr:cxnSp macro="">
      <xdr:nvCxnSpPr>
        <xdr:cNvPr id="143" name="Straight Connector 7">
          <a:extLst>
            <a:ext uri="{FF2B5EF4-FFF2-40B4-BE49-F238E27FC236}">
              <a16:creationId xmlns:a16="http://schemas.microsoft.com/office/drawing/2014/main" id="{C43BA9E9-D307-43FB-B202-1B02873F3490}"/>
            </a:ext>
          </a:extLst>
        </xdr:cNvPr>
        <xdr:cNvCxnSpPr/>
      </xdr:nvCxnSpPr>
      <xdr:spPr>
        <a:xfrm>
          <a:off x="4295590" y="5416176"/>
          <a:ext cx="366058" cy="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571500</xdr:colOff>
      <xdr:row>4</xdr:row>
      <xdr:rowOff>154213</xdr:rowOff>
    </xdr:from>
    <xdr:to>
      <xdr:col>18</xdr:col>
      <xdr:colOff>234044</xdr:colOff>
      <xdr:row>6</xdr:row>
      <xdr:rowOff>25399</xdr:rowOff>
    </xdr:to>
    <xdr:sp macro="" textlink="">
      <xdr:nvSpPr>
        <xdr:cNvPr id="150" name="Oval 149">
          <a:extLst>
            <a:ext uri="{FF2B5EF4-FFF2-40B4-BE49-F238E27FC236}">
              <a16:creationId xmlns:a16="http://schemas.microsoft.com/office/drawing/2014/main" id="{4AF38234-5D99-43F8-AADC-8276AA6C7803}"/>
            </a:ext>
          </a:extLst>
        </xdr:cNvPr>
        <xdr:cNvSpPr/>
      </xdr:nvSpPr>
      <xdr:spPr>
        <a:xfrm>
          <a:off x="7275286" y="517070"/>
          <a:ext cx="270329" cy="234043"/>
        </a:xfrm>
        <a:prstGeom prst="ellipse">
          <a:avLst/>
        </a:prstGeom>
        <a:solidFill>
          <a:sysClr val="window" lastClr="FFFFFF"/>
        </a:solidFill>
        <a:ln>
          <a:solidFill>
            <a:srgbClr val="FFC000"/>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GB" sz="1100" kern="1200"/>
            <a:t>B</a:t>
          </a:r>
        </a:p>
      </xdr:txBody>
    </xdr:sp>
    <xdr:clientData/>
  </xdr:twoCellAnchor>
  <xdr:twoCellAnchor>
    <xdr:from>
      <xdr:col>15</xdr:col>
      <xdr:colOff>190906</xdr:colOff>
      <xdr:row>7</xdr:row>
      <xdr:rowOff>100821</xdr:rowOff>
    </xdr:from>
    <xdr:to>
      <xdr:col>15</xdr:col>
      <xdr:colOff>476656</xdr:colOff>
      <xdr:row>7</xdr:row>
      <xdr:rowOff>100821</xdr:rowOff>
    </xdr:to>
    <xdr:cxnSp macro="">
      <xdr:nvCxnSpPr>
        <xdr:cNvPr id="4" name="Straight Connector 13">
          <a:extLst>
            <a:ext uri="{FF2B5EF4-FFF2-40B4-BE49-F238E27FC236}">
              <a16:creationId xmlns:a16="http://schemas.microsoft.com/office/drawing/2014/main" id="{9B7D4119-4859-4866-B4A9-2F2FA8279FFD}"/>
            </a:ext>
          </a:extLst>
        </xdr:cNvPr>
        <xdr:cNvCxnSpPr/>
      </xdr:nvCxnSpPr>
      <xdr:spPr>
        <a:xfrm>
          <a:off x="5679120" y="1370821"/>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202607</xdr:colOff>
      <xdr:row>10</xdr:row>
      <xdr:rowOff>108855</xdr:rowOff>
    </xdr:from>
    <xdr:to>
      <xdr:col>15</xdr:col>
      <xdr:colOff>488357</xdr:colOff>
      <xdr:row>10</xdr:row>
      <xdr:rowOff>108855</xdr:rowOff>
    </xdr:to>
    <xdr:cxnSp macro="">
      <xdr:nvCxnSpPr>
        <xdr:cNvPr id="6" name="Straight Connector 13">
          <a:extLst>
            <a:ext uri="{FF2B5EF4-FFF2-40B4-BE49-F238E27FC236}">
              <a16:creationId xmlns:a16="http://schemas.microsoft.com/office/drawing/2014/main" id="{70D75DB8-38E7-4973-931B-26CD4C7A083A}"/>
            </a:ext>
          </a:extLst>
        </xdr:cNvPr>
        <xdr:cNvCxnSpPr/>
      </xdr:nvCxnSpPr>
      <xdr:spPr>
        <a:xfrm>
          <a:off x="5690821" y="1923141"/>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566445</xdr:colOff>
      <xdr:row>7</xdr:row>
      <xdr:rowOff>2007</xdr:rowOff>
    </xdr:from>
    <xdr:to>
      <xdr:col>17</xdr:col>
      <xdr:colOff>397086</xdr:colOff>
      <xdr:row>8</xdr:row>
      <xdr:rowOff>21884</xdr:rowOff>
    </xdr:to>
    <xdr:grpSp>
      <xdr:nvGrpSpPr>
        <xdr:cNvPr id="65" name="Group 64">
          <a:extLst>
            <a:ext uri="{FF2B5EF4-FFF2-40B4-BE49-F238E27FC236}">
              <a16:creationId xmlns:a16="http://schemas.microsoft.com/office/drawing/2014/main" id="{31F936AE-E8D6-4A7A-AC8F-421F64107134}"/>
            </a:ext>
          </a:extLst>
        </xdr:cNvPr>
        <xdr:cNvGrpSpPr/>
      </xdr:nvGrpSpPr>
      <xdr:grpSpPr>
        <a:xfrm>
          <a:off x="11324092" y="1361654"/>
          <a:ext cx="502994" cy="214112"/>
          <a:chOff x="5547528" y="2332836"/>
          <a:chExt cx="438427" cy="206643"/>
        </a:xfrm>
      </xdr:grpSpPr>
      <xdr:cxnSp macro="">
        <xdr:nvCxnSpPr>
          <xdr:cNvPr id="67" name="Straight Connector 66">
            <a:extLst>
              <a:ext uri="{FF2B5EF4-FFF2-40B4-BE49-F238E27FC236}">
                <a16:creationId xmlns:a16="http://schemas.microsoft.com/office/drawing/2014/main" id="{3EABAE48-BE47-77D3-A8AB-95EC31BC45A9}"/>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68" name="Oval 17">
            <a:extLst>
              <a:ext uri="{FF2B5EF4-FFF2-40B4-BE49-F238E27FC236}">
                <a16:creationId xmlns:a16="http://schemas.microsoft.com/office/drawing/2014/main" id="{02DFEF23-12EE-309A-A99A-5D77FCD5489A}"/>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10</xdr:col>
      <xdr:colOff>7468</xdr:colOff>
      <xdr:row>18</xdr:row>
      <xdr:rowOff>74705</xdr:rowOff>
    </xdr:from>
    <xdr:to>
      <xdr:col>11</xdr:col>
      <xdr:colOff>119526</xdr:colOff>
      <xdr:row>19</xdr:row>
      <xdr:rowOff>67780</xdr:rowOff>
    </xdr:to>
    <xdr:grpSp>
      <xdr:nvGrpSpPr>
        <xdr:cNvPr id="3" name="Group 2">
          <a:extLst>
            <a:ext uri="{FF2B5EF4-FFF2-40B4-BE49-F238E27FC236}">
              <a16:creationId xmlns:a16="http://schemas.microsoft.com/office/drawing/2014/main" id="{07338172-ED2D-49BB-972E-85681AEF3E50}"/>
            </a:ext>
          </a:extLst>
        </xdr:cNvPr>
        <xdr:cNvGrpSpPr/>
      </xdr:nvGrpSpPr>
      <xdr:grpSpPr>
        <a:xfrm>
          <a:off x="6730997" y="3570940"/>
          <a:ext cx="784411" cy="187311"/>
          <a:chOff x="3378943" y="2409473"/>
          <a:chExt cx="334931" cy="107732"/>
        </a:xfrm>
      </xdr:grpSpPr>
      <xdr:cxnSp macro="">
        <xdr:nvCxnSpPr>
          <xdr:cNvPr id="7" name="Straight Connector 13">
            <a:extLst>
              <a:ext uri="{FF2B5EF4-FFF2-40B4-BE49-F238E27FC236}">
                <a16:creationId xmlns:a16="http://schemas.microsoft.com/office/drawing/2014/main" id="{1A3AED11-593D-2AEA-D57F-635A6A95F884}"/>
              </a:ext>
            </a:extLst>
          </xdr:cNvPr>
          <xdr:cNvCxnSpPr>
            <a:stCxn id="54" idx="3"/>
          </xdr:cNvCxnSpPr>
        </xdr:nvCxnSpPr>
        <xdr:spPr>
          <a:xfrm flipV="1">
            <a:off x="3378943" y="2468502"/>
            <a:ext cx="225978" cy="1387"/>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1" name="Oval 16">
            <a:extLst>
              <a:ext uri="{FF2B5EF4-FFF2-40B4-BE49-F238E27FC236}">
                <a16:creationId xmlns:a16="http://schemas.microsoft.com/office/drawing/2014/main" id="{69128A30-09A2-CE06-F37C-621AAACAD28E}"/>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10</xdr:col>
      <xdr:colOff>602416</xdr:colOff>
      <xdr:row>14</xdr:row>
      <xdr:rowOff>166100</xdr:rowOff>
    </xdr:from>
    <xdr:to>
      <xdr:col>11</xdr:col>
      <xdr:colOff>0</xdr:colOff>
      <xdr:row>23</xdr:row>
      <xdr:rowOff>0</xdr:rowOff>
    </xdr:to>
    <xdr:cxnSp macro="">
      <xdr:nvCxnSpPr>
        <xdr:cNvPr id="14" name="Straight Connector 13">
          <a:extLst>
            <a:ext uri="{FF2B5EF4-FFF2-40B4-BE49-F238E27FC236}">
              <a16:creationId xmlns:a16="http://schemas.microsoft.com/office/drawing/2014/main" id="{FE2BF276-D27B-463E-AABE-FF7E53706AD3}"/>
            </a:ext>
          </a:extLst>
        </xdr:cNvPr>
        <xdr:cNvCxnSpPr/>
      </xdr:nvCxnSpPr>
      <xdr:spPr>
        <a:xfrm>
          <a:off x="6728298" y="2780806"/>
          <a:ext cx="10173" cy="1514782"/>
        </a:xfrm>
        <a:prstGeom prst="line">
          <a:avLst/>
        </a:prstGeom>
        <a:noFill/>
        <a:ln w="19050" cap="flat" cmpd="sng" algn="ctr">
          <a:solidFill>
            <a:srgbClr val="5B9BD5"/>
          </a:solidFill>
          <a:prstDash val="solid"/>
          <a:miter lim="800000"/>
        </a:ln>
        <a:effectLst/>
      </xdr:spPr>
    </xdr:cxnSp>
    <xdr:clientData/>
  </xdr:twoCellAnchor>
  <xdr:twoCellAnchor>
    <xdr:from>
      <xdr:col>10</xdr:col>
      <xdr:colOff>557634</xdr:colOff>
      <xdr:row>13</xdr:row>
      <xdr:rowOff>52294</xdr:rowOff>
    </xdr:from>
    <xdr:to>
      <xdr:col>11</xdr:col>
      <xdr:colOff>515008</xdr:colOff>
      <xdr:row>14</xdr:row>
      <xdr:rowOff>125386</xdr:rowOff>
    </xdr:to>
    <xdr:sp macro="" textlink="">
      <xdr:nvSpPr>
        <xdr:cNvPr id="118" name="TextBox 12">
          <a:extLst>
            <a:ext uri="{FF2B5EF4-FFF2-40B4-BE49-F238E27FC236}">
              <a16:creationId xmlns:a16="http://schemas.microsoft.com/office/drawing/2014/main" id="{82984B92-9F50-4734-8F69-B84D72888591}"/>
            </a:ext>
          </a:extLst>
        </xdr:cNvPr>
        <xdr:cNvSpPr txBox="1"/>
      </xdr:nvSpPr>
      <xdr:spPr>
        <a:xfrm>
          <a:off x="6683516" y="2480235"/>
          <a:ext cx="569963" cy="25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Yes</a:t>
          </a:r>
        </a:p>
      </xdr:txBody>
    </xdr:sp>
    <xdr:clientData/>
  </xdr:twoCellAnchor>
  <xdr:twoCellAnchor>
    <xdr:from>
      <xdr:col>11</xdr:col>
      <xdr:colOff>327</xdr:colOff>
      <xdr:row>21</xdr:row>
      <xdr:rowOff>137458</xdr:rowOff>
    </xdr:from>
    <xdr:to>
      <xdr:col>11</xdr:col>
      <xdr:colOff>570290</xdr:colOff>
      <xdr:row>23</xdr:row>
      <xdr:rowOff>23786</xdr:rowOff>
    </xdr:to>
    <xdr:sp macro="" textlink="">
      <xdr:nvSpPr>
        <xdr:cNvPr id="119" name="TextBox 12">
          <a:extLst>
            <a:ext uri="{FF2B5EF4-FFF2-40B4-BE49-F238E27FC236}">
              <a16:creationId xmlns:a16="http://schemas.microsoft.com/office/drawing/2014/main" id="{EE6272F6-C9C3-4F91-A5BC-D9878F133B16}"/>
            </a:ext>
          </a:extLst>
        </xdr:cNvPr>
        <xdr:cNvSpPr txBox="1"/>
      </xdr:nvSpPr>
      <xdr:spPr>
        <a:xfrm>
          <a:off x="6738798" y="4059517"/>
          <a:ext cx="569963" cy="25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NO</a:t>
          </a:r>
        </a:p>
      </xdr:txBody>
    </xdr:sp>
    <xdr:clientData/>
  </xdr:twoCellAnchor>
  <xdr:twoCellAnchor>
    <xdr:from>
      <xdr:col>14</xdr:col>
      <xdr:colOff>363264</xdr:colOff>
      <xdr:row>18</xdr:row>
      <xdr:rowOff>84278</xdr:rowOff>
    </xdr:from>
    <xdr:to>
      <xdr:col>15</xdr:col>
      <xdr:colOff>36425</xdr:colOff>
      <xdr:row>18</xdr:row>
      <xdr:rowOff>84278</xdr:rowOff>
    </xdr:to>
    <xdr:cxnSp macro="">
      <xdr:nvCxnSpPr>
        <xdr:cNvPr id="122" name="Straight Connector 13">
          <a:extLst>
            <a:ext uri="{FF2B5EF4-FFF2-40B4-BE49-F238E27FC236}">
              <a16:creationId xmlns:a16="http://schemas.microsoft.com/office/drawing/2014/main" id="{51B03382-9FF4-4DD9-A22C-2DE275286918}"/>
            </a:ext>
          </a:extLst>
        </xdr:cNvPr>
        <xdr:cNvCxnSpPr/>
      </xdr:nvCxnSpPr>
      <xdr:spPr>
        <a:xfrm>
          <a:off x="8939499" y="3446043"/>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42122</xdr:colOff>
      <xdr:row>17</xdr:row>
      <xdr:rowOff>54049</xdr:rowOff>
    </xdr:from>
    <xdr:to>
      <xdr:col>16</xdr:col>
      <xdr:colOff>431643</xdr:colOff>
      <xdr:row>19</xdr:row>
      <xdr:rowOff>113814</xdr:rowOff>
    </xdr:to>
    <xdr:sp macro="" textlink="">
      <xdr:nvSpPr>
        <xdr:cNvPr id="123" name="TextBox 12">
          <a:extLst>
            <a:ext uri="{FF2B5EF4-FFF2-40B4-BE49-F238E27FC236}">
              <a16:creationId xmlns:a16="http://schemas.microsoft.com/office/drawing/2014/main" id="{1B96ECC5-9652-4367-92EF-01BEAF00A201}"/>
            </a:ext>
          </a:extLst>
        </xdr:cNvPr>
        <xdr:cNvSpPr txBox="1"/>
      </xdr:nvSpPr>
      <xdr:spPr>
        <a:xfrm>
          <a:off x="9230946" y="3229049"/>
          <a:ext cx="1002109" cy="433294"/>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clientData/>
  </xdr:twoCellAnchor>
  <xdr:twoCellAnchor>
    <xdr:from>
      <xdr:col>12</xdr:col>
      <xdr:colOff>287</xdr:colOff>
      <xdr:row>21</xdr:row>
      <xdr:rowOff>139213</xdr:rowOff>
    </xdr:from>
    <xdr:to>
      <xdr:col>13</xdr:col>
      <xdr:colOff>389808</xdr:colOff>
      <xdr:row>24</xdr:row>
      <xdr:rowOff>12213</xdr:rowOff>
    </xdr:to>
    <xdr:sp macro="" textlink="">
      <xdr:nvSpPr>
        <xdr:cNvPr id="130" name="TextBox 12">
          <a:extLst>
            <a:ext uri="{FF2B5EF4-FFF2-40B4-BE49-F238E27FC236}">
              <a16:creationId xmlns:a16="http://schemas.microsoft.com/office/drawing/2014/main" id="{A3BBC616-9F11-4905-B8F2-8F96B62C959E}"/>
            </a:ext>
          </a:extLst>
        </xdr:cNvPr>
        <xdr:cNvSpPr txBox="1"/>
      </xdr:nvSpPr>
      <xdr:spPr>
        <a:xfrm>
          <a:off x="7351346" y="4061272"/>
          <a:ext cx="1002109" cy="433294"/>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1244600</xdr:colOff>
          <xdr:row>4</xdr:row>
          <xdr:rowOff>152400</xdr:rowOff>
        </xdr:from>
        <xdr:to>
          <xdr:col>7</xdr:col>
          <xdr:colOff>12700</xdr:colOff>
          <xdr:row>5</xdr:row>
          <xdr:rowOff>177800</xdr:rowOff>
        </xdr:to>
        <xdr:sp macro="" textlink="">
          <xdr:nvSpPr>
            <xdr:cNvPr id="25601" name="Drop Down 1" hidden="1">
              <a:extLst>
                <a:ext uri="{63B3BB69-23CF-44E3-9099-C40C66FF867C}">
                  <a14:compatExt spid="_x0000_s25601"/>
                </a:ext>
                <a:ext uri="{FF2B5EF4-FFF2-40B4-BE49-F238E27FC236}">
                  <a16:creationId xmlns:a16="http://schemas.microsoft.com/office/drawing/2014/main" id="{00000000-0008-0000-0900-0000016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6</xdr:col>
      <xdr:colOff>89648</xdr:colOff>
      <xdr:row>0</xdr:row>
      <xdr:rowOff>164354</xdr:rowOff>
    </xdr:from>
    <xdr:to>
      <xdr:col>14</xdr:col>
      <xdr:colOff>702235</xdr:colOff>
      <xdr:row>8</xdr:row>
      <xdr:rowOff>104589</xdr:rowOff>
    </xdr:to>
    <xdr:sp macro="" textlink="">
      <xdr:nvSpPr>
        <xdr:cNvPr id="2" name="TextBox 1">
          <a:extLst>
            <a:ext uri="{FF2B5EF4-FFF2-40B4-BE49-F238E27FC236}">
              <a16:creationId xmlns:a16="http://schemas.microsoft.com/office/drawing/2014/main" id="{5246144A-6A1D-7791-254A-A838D620034B}"/>
            </a:ext>
          </a:extLst>
        </xdr:cNvPr>
        <xdr:cNvSpPr txBox="1"/>
      </xdr:nvSpPr>
      <xdr:spPr>
        <a:xfrm>
          <a:off x="4930589" y="164354"/>
          <a:ext cx="8292352" cy="1434353"/>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t>Age-adjusted mortality for males</a:t>
          </a:r>
          <a:r>
            <a:rPr lang="en-GB"/>
            <a:t> = Mortality rate for males at age </a:t>
          </a:r>
          <a:r>
            <a:rPr lang="en-GB" i="1"/>
            <a:t>x</a:t>
          </a:r>
          <a:r>
            <a:rPr lang="en-GB"/>
            <a:t> (from life table) × Standardized Mortality Ratio (SMR) for the given health state.</a:t>
          </a:r>
        </a:p>
        <a:p>
          <a:r>
            <a:rPr lang="en-GB" b="1"/>
            <a:t>Age-adjusted mortality for females</a:t>
          </a:r>
          <a:r>
            <a:rPr lang="en-GB"/>
            <a:t> = Mortality rate for females at age </a:t>
          </a:r>
          <a:r>
            <a:rPr lang="en-GB" i="1"/>
            <a:t>x</a:t>
          </a:r>
          <a:r>
            <a:rPr lang="en-GB"/>
            <a:t> (from life table) × Standardized Mortality Ratio (SMR) for the given health state.</a:t>
          </a:r>
        </a:p>
        <a:p>
          <a:r>
            <a:rPr lang="en-GB" b="1"/>
            <a:t>Overall age &amp; sex_adjusted mortality (to use in model)</a:t>
          </a:r>
          <a:r>
            <a:rPr lang="en-GB"/>
            <a:t> =</a:t>
          </a:r>
          <a:br>
            <a:rPr lang="en-GB"/>
          </a:br>
          <a:r>
            <a:rPr lang="en-GB"/>
            <a:t>(</a:t>
          </a:r>
          <a:r>
            <a:rPr lang="en-GB" i="1"/>
            <a:t>Age-adjusted mortality for males</a:t>
          </a:r>
          <a:r>
            <a:rPr lang="en-GB"/>
            <a:t> × </a:t>
          </a:r>
          <a:r>
            <a:rPr lang="en-GB" i="1"/>
            <a:t>Male proportion</a:t>
          </a:r>
          <a:r>
            <a:rPr lang="en-GB"/>
            <a:t>) + (</a:t>
          </a:r>
          <a:r>
            <a:rPr lang="en-GB" i="1"/>
            <a:t>Age-adjusted mortality for females</a:t>
          </a:r>
          <a:r>
            <a:rPr lang="en-GB"/>
            <a:t> × </a:t>
          </a:r>
          <a:r>
            <a:rPr lang="en-GB" i="1"/>
            <a:t>(1 - Male proportion)</a:t>
          </a:r>
          <a:r>
            <a:rPr lang="en-GB"/>
            <a:t>)</a:t>
          </a:r>
        </a:p>
        <a:p>
          <a:endParaRPr lang="en-GB" sz="1100" baseline="0"/>
        </a:p>
        <a:p>
          <a:endParaRPr lang="en-GB"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109415</xdr:colOff>
      <xdr:row>0</xdr:row>
      <xdr:rowOff>172963</xdr:rowOff>
    </xdr:from>
    <xdr:to>
      <xdr:col>10</xdr:col>
      <xdr:colOff>339969</xdr:colOff>
      <xdr:row>5</xdr:row>
      <xdr:rowOff>170473</xdr:rowOff>
    </xdr:to>
    <xdr:pic>
      <xdr:nvPicPr>
        <xdr:cNvPr id="2" name="Picture 1">
          <a:extLst>
            <a:ext uri="{FF2B5EF4-FFF2-40B4-BE49-F238E27FC236}">
              <a16:creationId xmlns:a16="http://schemas.microsoft.com/office/drawing/2014/main" id="{DABD14E7-0A5E-8650-8F40-A65FDE56809E}"/>
            </a:ext>
          </a:extLst>
        </xdr:cNvPr>
        <xdr:cNvPicPr>
          <a:picLocks noChangeAspect="1"/>
        </xdr:cNvPicPr>
      </xdr:nvPicPr>
      <xdr:blipFill>
        <a:blip xmlns:r="http://schemas.openxmlformats.org/officeDocument/2006/relationships" r:embed="rId1"/>
        <a:stretch>
          <a:fillRect/>
        </a:stretch>
      </xdr:blipFill>
      <xdr:spPr>
        <a:xfrm>
          <a:off x="2478453" y="172963"/>
          <a:ext cx="4900247" cy="925587"/>
        </a:xfrm>
        <a:prstGeom prst="rect">
          <a:avLst/>
        </a:prstGeom>
      </xdr:spPr>
    </xdr:pic>
    <xdr:clientData/>
  </xdr:twoCellAnchor>
  <xdr:twoCellAnchor>
    <xdr:from>
      <xdr:col>3</xdr:col>
      <xdr:colOff>85919</xdr:colOff>
      <xdr:row>54</xdr:row>
      <xdr:rowOff>62120</xdr:rowOff>
    </xdr:from>
    <xdr:to>
      <xdr:col>15</xdr:col>
      <xdr:colOff>446599</xdr:colOff>
      <xdr:row>75</xdr:row>
      <xdr:rowOff>149088</xdr:rowOff>
    </xdr:to>
    <xdr:sp macro="" textlink="">
      <xdr:nvSpPr>
        <xdr:cNvPr id="3" name="TextBox 2">
          <a:extLst>
            <a:ext uri="{FF2B5EF4-FFF2-40B4-BE49-F238E27FC236}">
              <a16:creationId xmlns:a16="http://schemas.microsoft.com/office/drawing/2014/main" id="{F7CB0120-2ECD-B5A9-F256-922974D615C7}"/>
            </a:ext>
          </a:extLst>
        </xdr:cNvPr>
        <xdr:cNvSpPr txBox="1"/>
      </xdr:nvSpPr>
      <xdr:spPr>
        <a:xfrm>
          <a:off x="2454745" y="9901859"/>
          <a:ext cx="8427941" cy="39135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t>Step 1: Calculate Baseline Utility for Males and Females</a:t>
          </a:r>
        </a:p>
        <a:p>
          <a:r>
            <a:rPr lang="en-GB"/>
            <a:t>To estimate the </a:t>
          </a:r>
          <a:r>
            <a:rPr lang="en-GB" b="1"/>
            <a:t>baseline utility</a:t>
          </a:r>
          <a:r>
            <a:rPr lang="en-GB"/>
            <a:t> for males and females at a given age (</a:t>
          </a:r>
          <a:r>
            <a:rPr lang="en-GB" b="1"/>
            <a:t>AgeX</a:t>
          </a:r>
          <a:r>
            <a:rPr lang="en-GB"/>
            <a:t>), we use the </a:t>
          </a:r>
          <a:r>
            <a:rPr lang="en-GB" b="1"/>
            <a:t>Ara (2010) equation</a:t>
          </a:r>
          <a:r>
            <a:rPr lang="en-GB"/>
            <a:t>:</a:t>
          </a:r>
        </a:p>
        <a:p>
          <a:r>
            <a:rPr lang="en-GB"/>
            <a:t>Utility=0.9508566+(0.0212126×Male)−(0.0002587×Age)−(0.0000332×Age^2</a:t>
          </a:r>
        </a:p>
        <a:p>
          <a:endParaRPr lang="en-GB"/>
        </a:p>
        <a:p>
          <a:r>
            <a:rPr lang="en-GB" b="1"/>
            <a:t>Where:</a:t>
          </a:r>
        </a:p>
        <a:p>
          <a:r>
            <a:rPr lang="en-GB" b="1"/>
            <a:t>Male</a:t>
          </a:r>
          <a:r>
            <a:rPr lang="en-GB"/>
            <a:t> = 1 for males, 0 for females.</a:t>
          </a:r>
        </a:p>
        <a:p>
          <a:r>
            <a:rPr lang="en-GB"/>
            <a:t>We apply this formula separately for: </a:t>
          </a:r>
          <a:r>
            <a:rPr lang="en-GB" b="1"/>
            <a:t>Males starting at age 63</a:t>
          </a:r>
          <a:r>
            <a:rPr lang="en-GB"/>
            <a:t> + 39year</a:t>
          </a:r>
          <a:r>
            <a:rPr lang="en-GB" baseline="0"/>
            <a:t> </a:t>
          </a:r>
          <a:r>
            <a:rPr lang="en-GB"/>
            <a:t> ,   </a:t>
          </a:r>
          <a:r>
            <a:rPr lang="en-GB" b="1"/>
            <a:t>Females starting at age 70</a:t>
          </a:r>
          <a:r>
            <a:rPr lang="en-GB"/>
            <a:t> + 39 year </a:t>
          </a:r>
        </a:p>
        <a:p>
          <a:endParaRPr lang="en-GB" b="1"/>
        </a:p>
        <a:p>
          <a:r>
            <a:rPr lang="en-GB" b="1"/>
            <a:t>Step 2: Adjust for Health State Utility</a:t>
          </a:r>
        </a:p>
        <a:p>
          <a:r>
            <a:rPr lang="en-GB"/>
            <a:t>Next, we adjust the </a:t>
          </a:r>
          <a:r>
            <a:rPr lang="en-GB" b="1"/>
            <a:t>baseline utility</a:t>
          </a:r>
          <a:r>
            <a:rPr lang="en-GB"/>
            <a:t> to account for specific </a:t>
          </a:r>
          <a:r>
            <a:rPr lang="en-GB" b="1"/>
            <a:t>health states</a:t>
          </a:r>
          <a:r>
            <a:rPr lang="en-GB"/>
            <a:t> (e.g., stroke, post-MI, reinfarction) by multiplying it with the corresponding </a:t>
          </a:r>
          <a:r>
            <a:rPr lang="en-GB" b="1"/>
            <a:t>health state utility</a:t>
          </a:r>
          <a:r>
            <a:rPr lang="en-GB"/>
            <a:t>:</a:t>
          </a:r>
        </a:p>
        <a:p>
          <a:r>
            <a:rPr lang="en-GB"/>
            <a:t>Age-Adjusted Utility (Male)= Base Utility (Male)×Health State Utility</a:t>
          </a:r>
        </a:p>
        <a:p>
          <a:r>
            <a:rPr lang="en-GB"/>
            <a:t>Age_Adjusted Utility (Female)= Base Utility (Female)×Health State Utility</a:t>
          </a:r>
        </a:p>
        <a:p>
          <a:endParaRPr lang="en-GB"/>
        </a:p>
        <a:p>
          <a:r>
            <a:rPr lang="en-GB"/>
            <a:t> </a:t>
          </a:r>
          <a:r>
            <a:rPr lang="en-GB" b="1"/>
            <a:t>Step 3: Compute Weighted Age- and Sex-Adjusted Utility</a:t>
          </a:r>
        </a:p>
        <a:p>
          <a:r>
            <a:rPr lang="en-GB"/>
            <a:t>To estimate the overall utility for a population consisting of both </a:t>
          </a:r>
          <a:r>
            <a:rPr lang="en-GB" b="1"/>
            <a:t>males and females</a:t>
          </a:r>
          <a:r>
            <a:rPr lang="en-GB"/>
            <a:t>, we calculate a </a:t>
          </a:r>
          <a:r>
            <a:rPr lang="en-GB" b="1"/>
            <a:t>weighted average</a:t>
          </a:r>
          <a:r>
            <a:rPr lang="en-GB"/>
            <a:t> using the proportion of males in the cohort:</a:t>
          </a:r>
        </a:p>
        <a:p>
          <a:r>
            <a:rPr lang="en-GB"/>
            <a:t>Weighted Utility=(Age-Adjusted Utility (Male)×Male Proportion)+(Age-Adjusted Utility (Female)×(1−Male Proportion))</a:t>
          </a:r>
        </a:p>
        <a:p>
          <a:endParaRPr lang="en-GB" sz="1100">
            <a:solidFill>
              <a:schemeClr val="dk1"/>
            </a:solidFill>
            <a:effectLst/>
            <a:latin typeface="+mn-lt"/>
            <a:ea typeface="+mn-ea"/>
            <a:cs typeface="+mn-cs"/>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xdr:col>
      <xdr:colOff>4380</xdr:colOff>
      <xdr:row>11</xdr:row>
      <xdr:rowOff>4379</xdr:rowOff>
    </xdr:from>
    <xdr:to>
      <xdr:col>20</xdr:col>
      <xdr:colOff>7471</xdr:colOff>
      <xdr:row>11</xdr:row>
      <xdr:rowOff>14941</xdr:rowOff>
    </xdr:to>
    <xdr:cxnSp macro="">
      <xdr:nvCxnSpPr>
        <xdr:cNvPr id="3" name="Straight Connector 2">
          <a:extLst>
            <a:ext uri="{FF2B5EF4-FFF2-40B4-BE49-F238E27FC236}">
              <a16:creationId xmlns:a16="http://schemas.microsoft.com/office/drawing/2014/main" id="{53376326-D454-04A0-E474-7FAA60131935}"/>
            </a:ext>
          </a:extLst>
        </xdr:cNvPr>
        <xdr:cNvCxnSpPr/>
      </xdr:nvCxnSpPr>
      <xdr:spPr>
        <a:xfrm>
          <a:off x="1229556" y="1954203"/>
          <a:ext cx="9064915" cy="10562"/>
        </a:xfrm>
        <a:prstGeom prst="line">
          <a:avLst/>
        </a:prstGeom>
        <a:ln w="762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41731</xdr:colOff>
      <xdr:row>6</xdr:row>
      <xdr:rowOff>119530</xdr:rowOff>
    </xdr:from>
    <xdr:to>
      <xdr:col>4</xdr:col>
      <xdr:colOff>313764</xdr:colOff>
      <xdr:row>10</xdr:row>
      <xdr:rowOff>14941</xdr:rowOff>
    </xdr:to>
    <xdr:sp macro="" textlink="">
      <xdr:nvSpPr>
        <xdr:cNvPr id="4" name="TextBox 3">
          <a:extLst>
            <a:ext uri="{FF2B5EF4-FFF2-40B4-BE49-F238E27FC236}">
              <a16:creationId xmlns:a16="http://schemas.microsoft.com/office/drawing/2014/main" id="{44D7E106-E66B-1B68-9E20-B2B6B61C1C0B}"/>
            </a:ext>
          </a:extLst>
        </xdr:cNvPr>
        <xdr:cNvSpPr txBox="1"/>
      </xdr:nvSpPr>
      <xdr:spPr>
        <a:xfrm>
          <a:off x="1266907" y="142688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4</xdr:col>
      <xdr:colOff>333083</xdr:colOff>
      <xdr:row>6</xdr:row>
      <xdr:rowOff>119531</xdr:rowOff>
    </xdr:from>
    <xdr:to>
      <xdr:col>5</xdr:col>
      <xdr:colOff>605117</xdr:colOff>
      <xdr:row>10</xdr:row>
      <xdr:rowOff>14942</xdr:rowOff>
    </xdr:to>
    <xdr:sp macro="" textlink="">
      <xdr:nvSpPr>
        <xdr:cNvPr id="7" name="TextBox 6">
          <a:extLst>
            <a:ext uri="{FF2B5EF4-FFF2-40B4-BE49-F238E27FC236}">
              <a16:creationId xmlns:a16="http://schemas.microsoft.com/office/drawing/2014/main" id="{838C4395-C3A2-4EDB-8953-7C820549C848}"/>
            </a:ext>
          </a:extLst>
        </xdr:cNvPr>
        <xdr:cNvSpPr txBox="1"/>
      </xdr:nvSpPr>
      <xdr:spPr>
        <a:xfrm>
          <a:off x="2170848" y="1471707"/>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GB" sz="1050"/>
        </a:p>
        <a:p>
          <a:pPr algn="ctr"/>
          <a:r>
            <a:rPr lang="en-GB" sz="1050"/>
            <a:t>POC test </a:t>
          </a:r>
        </a:p>
      </xdr:txBody>
    </xdr:sp>
    <xdr:clientData/>
  </xdr:twoCellAnchor>
  <xdr:twoCellAnchor>
    <xdr:from>
      <xdr:col>7</xdr:col>
      <xdr:colOff>228499</xdr:colOff>
      <xdr:row>6</xdr:row>
      <xdr:rowOff>127001</xdr:rowOff>
    </xdr:from>
    <xdr:to>
      <xdr:col>8</xdr:col>
      <xdr:colOff>500533</xdr:colOff>
      <xdr:row>10</xdr:row>
      <xdr:rowOff>22412</xdr:rowOff>
    </xdr:to>
    <xdr:sp macro="" textlink="">
      <xdr:nvSpPr>
        <xdr:cNvPr id="8" name="TextBox 7">
          <a:extLst>
            <a:ext uri="{FF2B5EF4-FFF2-40B4-BE49-F238E27FC236}">
              <a16:creationId xmlns:a16="http://schemas.microsoft.com/office/drawing/2014/main" id="{25B87FC3-FAD9-41FF-846D-5D2F77628B9C}"/>
            </a:ext>
          </a:extLst>
        </xdr:cNvPr>
        <xdr:cNvSpPr txBox="1"/>
      </xdr:nvSpPr>
      <xdr:spPr>
        <a:xfrm>
          <a:off x="3440852" y="91888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5</xdr:col>
      <xdr:colOff>132924</xdr:colOff>
      <xdr:row>10</xdr:row>
      <xdr:rowOff>14943</xdr:rowOff>
    </xdr:from>
    <xdr:to>
      <xdr:col>5</xdr:col>
      <xdr:colOff>134471</xdr:colOff>
      <xdr:row>13</xdr:row>
      <xdr:rowOff>0</xdr:rowOff>
    </xdr:to>
    <xdr:cxnSp macro="">
      <xdr:nvCxnSpPr>
        <xdr:cNvPr id="10" name="Straight Connector 9">
          <a:extLst>
            <a:ext uri="{FF2B5EF4-FFF2-40B4-BE49-F238E27FC236}">
              <a16:creationId xmlns:a16="http://schemas.microsoft.com/office/drawing/2014/main" id="{100FD38C-26F5-8FAD-57A3-15C1B4161E29}"/>
            </a:ext>
          </a:extLst>
        </xdr:cNvPr>
        <xdr:cNvCxnSpPr/>
      </xdr:nvCxnSpPr>
      <xdr:spPr>
        <a:xfrm>
          <a:off x="2583277" y="1591237"/>
          <a:ext cx="1547" cy="545351"/>
        </a:xfrm>
        <a:prstGeom prst="line">
          <a:avLst/>
        </a:prstGeom>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134470</xdr:colOff>
      <xdr:row>13</xdr:row>
      <xdr:rowOff>1</xdr:rowOff>
    </xdr:from>
    <xdr:to>
      <xdr:col>11</xdr:col>
      <xdr:colOff>156883</xdr:colOff>
      <xdr:row>13</xdr:row>
      <xdr:rowOff>1</xdr:rowOff>
    </xdr:to>
    <xdr:cxnSp macro="">
      <xdr:nvCxnSpPr>
        <xdr:cNvPr id="12" name="Straight Connector 11">
          <a:extLst>
            <a:ext uri="{FF2B5EF4-FFF2-40B4-BE49-F238E27FC236}">
              <a16:creationId xmlns:a16="http://schemas.microsoft.com/office/drawing/2014/main" id="{4A352218-FBBB-B6E0-7F7F-792793101714}"/>
            </a:ext>
          </a:extLst>
        </xdr:cNvPr>
        <xdr:cNvCxnSpPr/>
      </xdr:nvCxnSpPr>
      <xdr:spPr>
        <a:xfrm>
          <a:off x="2584823" y="2136589"/>
          <a:ext cx="2808942"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141941</xdr:colOff>
      <xdr:row>10</xdr:row>
      <xdr:rowOff>14941</xdr:rowOff>
    </xdr:from>
    <xdr:to>
      <xdr:col>11</xdr:col>
      <xdr:colOff>143382</xdr:colOff>
      <xdr:row>12</xdr:row>
      <xdr:rowOff>182281</xdr:rowOff>
    </xdr:to>
    <xdr:cxnSp macro="">
      <xdr:nvCxnSpPr>
        <xdr:cNvPr id="13" name="Straight Connector 12">
          <a:extLst>
            <a:ext uri="{FF2B5EF4-FFF2-40B4-BE49-F238E27FC236}">
              <a16:creationId xmlns:a16="http://schemas.microsoft.com/office/drawing/2014/main" id="{D5918B1C-4662-4EE7-8FAE-62141259959D}"/>
            </a:ext>
          </a:extLst>
        </xdr:cNvPr>
        <xdr:cNvCxnSpPr/>
      </xdr:nvCxnSpPr>
      <xdr:spPr>
        <a:xfrm flipH="1" flipV="1">
          <a:off x="5378823" y="1553882"/>
          <a:ext cx="1441" cy="54087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291256</xdr:colOff>
      <xdr:row>4</xdr:row>
      <xdr:rowOff>2990</xdr:rowOff>
    </xdr:from>
    <xdr:to>
      <xdr:col>11</xdr:col>
      <xdr:colOff>563290</xdr:colOff>
      <xdr:row>5</xdr:row>
      <xdr:rowOff>119528</xdr:rowOff>
    </xdr:to>
    <xdr:sp macro="" textlink="">
      <xdr:nvSpPr>
        <xdr:cNvPr id="15" name="TextBox 14">
          <a:extLst>
            <a:ext uri="{FF2B5EF4-FFF2-40B4-BE49-F238E27FC236}">
              <a16:creationId xmlns:a16="http://schemas.microsoft.com/office/drawing/2014/main" id="{974FEFEF-9BA8-4BBB-A22F-C574F1F4B2D4}"/>
            </a:ext>
          </a:extLst>
        </xdr:cNvPr>
        <xdr:cNvSpPr txBox="1"/>
      </xdr:nvSpPr>
      <xdr:spPr>
        <a:xfrm>
          <a:off x="4915550" y="832225"/>
          <a:ext cx="884622"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050"/>
            <a:t>No-LOF </a:t>
          </a:r>
        </a:p>
      </xdr:txBody>
    </xdr:sp>
    <xdr:clientData/>
  </xdr:twoCellAnchor>
  <xdr:twoCellAnchor>
    <xdr:from>
      <xdr:col>10</xdr:col>
      <xdr:colOff>339068</xdr:colOff>
      <xdr:row>8</xdr:row>
      <xdr:rowOff>13448</xdr:rowOff>
    </xdr:from>
    <xdr:to>
      <xdr:col>11</xdr:col>
      <xdr:colOff>611102</xdr:colOff>
      <xdr:row>9</xdr:row>
      <xdr:rowOff>129988</xdr:rowOff>
    </xdr:to>
    <xdr:sp macro="" textlink="">
      <xdr:nvSpPr>
        <xdr:cNvPr id="18" name="TextBox 17">
          <a:extLst>
            <a:ext uri="{FF2B5EF4-FFF2-40B4-BE49-F238E27FC236}">
              <a16:creationId xmlns:a16="http://schemas.microsoft.com/office/drawing/2014/main" id="{3D7B7D92-D411-4E61-9881-5B717ACFB2F3}"/>
            </a:ext>
          </a:extLst>
        </xdr:cNvPr>
        <xdr:cNvSpPr txBox="1"/>
      </xdr:nvSpPr>
      <xdr:spPr>
        <a:xfrm>
          <a:off x="4963362" y="1589742"/>
          <a:ext cx="884622"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050"/>
            <a:t>LOF </a:t>
          </a:r>
        </a:p>
      </xdr:txBody>
    </xdr:sp>
    <xdr:clientData/>
  </xdr:twoCellAnchor>
  <xdr:twoCellAnchor>
    <xdr:from>
      <xdr:col>14</xdr:col>
      <xdr:colOff>286775</xdr:colOff>
      <xdr:row>3</xdr:row>
      <xdr:rowOff>147918</xdr:rowOff>
    </xdr:from>
    <xdr:to>
      <xdr:col>15</xdr:col>
      <xdr:colOff>558810</xdr:colOff>
      <xdr:row>5</xdr:row>
      <xdr:rowOff>77694</xdr:rowOff>
    </xdr:to>
    <xdr:sp macro="" textlink="">
      <xdr:nvSpPr>
        <xdr:cNvPr id="22" name="TextBox 21">
          <a:extLst>
            <a:ext uri="{FF2B5EF4-FFF2-40B4-BE49-F238E27FC236}">
              <a16:creationId xmlns:a16="http://schemas.microsoft.com/office/drawing/2014/main" id="{A2167A56-61A7-4BF5-8295-146AA14188CC}"/>
            </a:ext>
          </a:extLst>
        </xdr:cNvPr>
        <xdr:cNvSpPr txBox="1"/>
      </xdr:nvSpPr>
      <xdr:spPr>
        <a:xfrm>
          <a:off x="6898246" y="790389"/>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14</xdr:col>
      <xdr:colOff>312177</xdr:colOff>
      <xdr:row>6</xdr:row>
      <xdr:rowOff>173318</xdr:rowOff>
    </xdr:from>
    <xdr:to>
      <xdr:col>15</xdr:col>
      <xdr:colOff>584212</xdr:colOff>
      <xdr:row>8</xdr:row>
      <xdr:rowOff>103092</xdr:rowOff>
    </xdr:to>
    <xdr:sp macro="" textlink="">
      <xdr:nvSpPr>
        <xdr:cNvPr id="23" name="TextBox 22">
          <a:extLst>
            <a:ext uri="{FF2B5EF4-FFF2-40B4-BE49-F238E27FC236}">
              <a16:creationId xmlns:a16="http://schemas.microsoft.com/office/drawing/2014/main" id="{3C428DBC-0648-4A9C-A373-6F1D5E534CE0}"/>
            </a:ext>
          </a:extLst>
        </xdr:cNvPr>
        <xdr:cNvSpPr txBox="1"/>
      </xdr:nvSpPr>
      <xdr:spPr>
        <a:xfrm>
          <a:off x="6923648" y="1376083"/>
          <a:ext cx="884623"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14</xdr:col>
      <xdr:colOff>322633</xdr:colOff>
      <xdr:row>9</xdr:row>
      <xdr:rowOff>4483</xdr:rowOff>
    </xdr:from>
    <xdr:to>
      <xdr:col>15</xdr:col>
      <xdr:colOff>594668</xdr:colOff>
      <xdr:row>10</xdr:row>
      <xdr:rowOff>121023</xdr:rowOff>
    </xdr:to>
    <xdr:sp macro="" textlink="">
      <xdr:nvSpPr>
        <xdr:cNvPr id="24" name="TextBox 23">
          <a:extLst>
            <a:ext uri="{FF2B5EF4-FFF2-40B4-BE49-F238E27FC236}">
              <a16:creationId xmlns:a16="http://schemas.microsoft.com/office/drawing/2014/main" id="{536FE807-CB84-4F13-BC03-17B57E5C1D9C}"/>
            </a:ext>
          </a:extLst>
        </xdr:cNvPr>
        <xdr:cNvSpPr txBox="1"/>
      </xdr:nvSpPr>
      <xdr:spPr>
        <a:xfrm>
          <a:off x="6934104" y="1767542"/>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7</xdr:col>
      <xdr:colOff>194235</xdr:colOff>
      <xdr:row>12</xdr:row>
      <xdr:rowOff>37352</xdr:rowOff>
    </xdr:from>
    <xdr:to>
      <xdr:col>10</xdr:col>
      <xdr:colOff>194235</xdr:colOff>
      <xdr:row>13</xdr:row>
      <xdr:rowOff>112058</xdr:rowOff>
    </xdr:to>
    <xdr:sp macro="" textlink="">
      <xdr:nvSpPr>
        <xdr:cNvPr id="39" name="TextBox 38">
          <a:extLst>
            <a:ext uri="{FF2B5EF4-FFF2-40B4-BE49-F238E27FC236}">
              <a16:creationId xmlns:a16="http://schemas.microsoft.com/office/drawing/2014/main" id="{A4C4DF99-9273-FE83-3B4C-A2A8F60306A1}"/>
            </a:ext>
          </a:extLst>
        </xdr:cNvPr>
        <xdr:cNvSpPr txBox="1"/>
      </xdr:nvSpPr>
      <xdr:spPr>
        <a:xfrm>
          <a:off x="3406588" y="1949823"/>
          <a:ext cx="1411941" cy="261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test result is ready </a:t>
          </a:r>
        </a:p>
      </xdr:txBody>
    </xdr:sp>
    <xdr:clientData/>
  </xdr:twoCellAnchor>
  <xdr:twoCellAnchor>
    <xdr:from>
      <xdr:col>1</xdr:col>
      <xdr:colOff>582707</xdr:colOff>
      <xdr:row>2</xdr:row>
      <xdr:rowOff>0</xdr:rowOff>
    </xdr:from>
    <xdr:to>
      <xdr:col>3</xdr:col>
      <xdr:colOff>14942</xdr:colOff>
      <xdr:row>15</xdr:row>
      <xdr:rowOff>2</xdr:rowOff>
    </xdr:to>
    <xdr:sp macro="" textlink="">
      <xdr:nvSpPr>
        <xdr:cNvPr id="6" name="TextBox 5">
          <a:extLst>
            <a:ext uri="{FF2B5EF4-FFF2-40B4-BE49-F238E27FC236}">
              <a16:creationId xmlns:a16="http://schemas.microsoft.com/office/drawing/2014/main" id="{A5F2A93D-18E1-1DBC-560E-60C3F2386F63}"/>
            </a:ext>
          </a:extLst>
        </xdr:cNvPr>
        <xdr:cNvSpPr txBox="1"/>
      </xdr:nvSpPr>
      <xdr:spPr>
        <a:xfrm rot="16200000">
          <a:off x="-343647" y="926354"/>
          <a:ext cx="2510120" cy="6574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3200" baseline="0"/>
            <a:t>ACS</a:t>
          </a:r>
          <a:endParaRPr lang="en-GB" sz="3200"/>
        </a:p>
      </xdr:txBody>
    </xdr:sp>
    <xdr:clientData/>
  </xdr:twoCellAnchor>
  <xdr:twoCellAnchor>
    <xdr:from>
      <xdr:col>1</xdr:col>
      <xdr:colOff>518459</xdr:colOff>
      <xdr:row>21</xdr:row>
      <xdr:rowOff>182282</xdr:rowOff>
    </xdr:from>
    <xdr:to>
      <xdr:col>2</xdr:col>
      <xdr:colOff>563282</xdr:colOff>
      <xdr:row>36</xdr:row>
      <xdr:rowOff>7469</xdr:rowOff>
    </xdr:to>
    <xdr:sp macro="" textlink="">
      <xdr:nvSpPr>
        <xdr:cNvPr id="9" name="TextBox 8">
          <a:extLst>
            <a:ext uri="{FF2B5EF4-FFF2-40B4-BE49-F238E27FC236}">
              <a16:creationId xmlns:a16="http://schemas.microsoft.com/office/drawing/2014/main" id="{555E577C-6284-4F08-8943-CD5E33024BD6}"/>
            </a:ext>
          </a:extLst>
        </xdr:cNvPr>
        <xdr:cNvSpPr txBox="1"/>
      </xdr:nvSpPr>
      <xdr:spPr>
        <a:xfrm rot="16200000">
          <a:off x="-488576" y="5006788"/>
          <a:ext cx="2671481" cy="6574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2400"/>
            <a:t>UA/NSTEMI</a:t>
          </a:r>
          <a:r>
            <a:rPr lang="en-GB" sz="2400" baseline="0"/>
            <a:t> - ACS</a:t>
          </a:r>
          <a:endParaRPr lang="en-GB" sz="2400"/>
        </a:p>
      </xdr:txBody>
    </xdr:sp>
    <xdr:clientData/>
  </xdr:twoCellAnchor>
  <xdr:twoCellAnchor>
    <xdr:from>
      <xdr:col>2</xdr:col>
      <xdr:colOff>564673</xdr:colOff>
      <xdr:row>28</xdr:row>
      <xdr:rowOff>168732</xdr:rowOff>
    </xdr:from>
    <xdr:to>
      <xdr:col>20</xdr:col>
      <xdr:colOff>14941</xdr:colOff>
      <xdr:row>29</xdr:row>
      <xdr:rowOff>0</xdr:rowOff>
    </xdr:to>
    <xdr:cxnSp macro="">
      <xdr:nvCxnSpPr>
        <xdr:cNvPr id="11" name="Straight Connector 10">
          <a:extLst>
            <a:ext uri="{FF2B5EF4-FFF2-40B4-BE49-F238E27FC236}">
              <a16:creationId xmlns:a16="http://schemas.microsoft.com/office/drawing/2014/main" id="{A2840D09-971C-407A-B5E1-06A8F9D07FF3}"/>
            </a:ext>
          </a:extLst>
        </xdr:cNvPr>
        <xdr:cNvCxnSpPr/>
      </xdr:nvCxnSpPr>
      <xdr:spPr>
        <a:xfrm>
          <a:off x="1177261" y="5338379"/>
          <a:ext cx="9124680" cy="18033"/>
        </a:xfrm>
        <a:prstGeom prst="line">
          <a:avLst/>
        </a:prstGeom>
        <a:ln w="762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609496</xdr:colOff>
      <xdr:row>24</xdr:row>
      <xdr:rowOff>141942</xdr:rowOff>
    </xdr:from>
    <xdr:to>
      <xdr:col>4</xdr:col>
      <xdr:colOff>268941</xdr:colOff>
      <xdr:row>28</xdr:row>
      <xdr:rowOff>37353</xdr:rowOff>
    </xdr:to>
    <xdr:sp macro="" textlink="">
      <xdr:nvSpPr>
        <xdr:cNvPr id="14" name="TextBox 13">
          <a:extLst>
            <a:ext uri="{FF2B5EF4-FFF2-40B4-BE49-F238E27FC236}">
              <a16:creationId xmlns:a16="http://schemas.microsoft.com/office/drawing/2014/main" id="{E3170FE8-B78D-4BE6-BBC4-523F803479AC}"/>
            </a:ext>
          </a:extLst>
        </xdr:cNvPr>
        <xdr:cNvSpPr txBox="1"/>
      </xdr:nvSpPr>
      <xdr:spPr>
        <a:xfrm>
          <a:off x="1222084" y="4332942"/>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4</xdr:col>
      <xdr:colOff>288260</xdr:colOff>
      <xdr:row>24</xdr:row>
      <xdr:rowOff>141943</xdr:rowOff>
    </xdr:from>
    <xdr:to>
      <xdr:col>5</xdr:col>
      <xdr:colOff>560294</xdr:colOff>
      <xdr:row>28</xdr:row>
      <xdr:rowOff>37354</xdr:rowOff>
    </xdr:to>
    <xdr:sp macro="" textlink="">
      <xdr:nvSpPr>
        <xdr:cNvPr id="16" name="TextBox 15">
          <a:extLst>
            <a:ext uri="{FF2B5EF4-FFF2-40B4-BE49-F238E27FC236}">
              <a16:creationId xmlns:a16="http://schemas.microsoft.com/office/drawing/2014/main" id="{7A6C4BC5-D5E6-46DA-BC59-F8A1518A795F}"/>
            </a:ext>
          </a:extLst>
        </xdr:cNvPr>
        <xdr:cNvSpPr txBox="1"/>
      </xdr:nvSpPr>
      <xdr:spPr>
        <a:xfrm>
          <a:off x="2126025" y="433294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GB" sz="1050"/>
        </a:p>
        <a:p>
          <a:pPr algn="ctr"/>
          <a:r>
            <a:rPr lang="en-GB" sz="1050"/>
            <a:t>POC test</a:t>
          </a:r>
        </a:p>
      </xdr:txBody>
    </xdr:sp>
    <xdr:clientData/>
  </xdr:twoCellAnchor>
  <xdr:twoCellAnchor>
    <xdr:from>
      <xdr:col>5</xdr:col>
      <xdr:colOff>73156</xdr:colOff>
      <xdr:row>28</xdr:row>
      <xdr:rowOff>52307</xdr:rowOff>
    </xdr:from>
    <xdr:to>
      <xdr:col>5</xdr:col>
      <xdr:colOff>74703</xdr:colOff>
      <xdr:row>31</xdr:row>
      <xdr:rowOff>37364</xdr:rowOff>
    </xdr:to>
    <xdr:cxnSp macro="">
      <xdr:nvCxnSpPr>
        <xdr:cNvPr id="17" name="Straight Connector 16">
          <a:extLst>
            <a:ext uri="{FF2B5EF4-FFF2-40B4-BE49-F238E27FC236}">
              <a16:creationId xmlns:a16="http://schemas.microsoft.com/office/drawing/2014/main" id="{26886D28-313C-450D-8D30-EE472DED0127}"/>
            </a:ext>
          </a:extLst>
        </xdr:cNvPr>
        <xdr:cNvCxnSpPr/>
      </xdr:nvCxnSpPr>
      <xdr:spPr>
        <a:xfrm>
          <a:off x="2523509" y="5035189"/>
          <a:ext cx="1547" cy="545351"/>
        </a:xfrm>
        <a:prstGeom prst="line">
          <a:avLst/>
        </a:prstGeom>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74702</xdr:colOff>
      <xdr:row>31</xdr:row>
      <xdr:rowOff>29883</xdr:rowOff>
    </xdr:from>
    <xdr:to>
      <xdr:col>8</xdr:col>
      <xdr:colOff>14941</xdr:colOff>
      <xdr:row>31</xdr:row>
      <xdr:rowOff>37365</xdr:rowOff>
    </xdr:to>
    <xdr:cxnSp macro="">
      <xdr:nvCxnSpPr>
        <xdr:cNvPr id="19" name="Straight Connector 18">
          <a:extLst>
            <a:ext uri="{FF2B5EF4-FFF2-40B4-BE49-F238E27FC236}">
              <a16:creationId xmlns:a16="http://schemas.microsoft.com/office/drawing/2014/main" id="{031074F5-AD04-4ED3-9C06-DB2ABD34EB7E}"/>
            </a:ext>
          </a:extLst>
        </xdr:cNvPr>
        <xdr:cNvCxnSpPr/>
      </xdr:nvCxnSpPr>
      <xdr:spPr>
        <a:xfrm flipV="1">
          <a:off x="2525055" y="5573059"/>
          <a:ext cx="1314827" cy="7482"/>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8908</xdr:colOff>
      <xdr:row>27</xdr:row>
      <xdr:rowOff>156882</xdr:rowOff>
    </xdr:from>
    <xdr:to>
      <xdr:col>8</xdr:col>
      <xdr:colOff>14941</xdr:colOff>
      <xdr:row>31</xdr:row>
      <xdr:rowOff>40352</xdr:rowOff>
    </xdr:to>
    <xdr:cxnSp macro="">
      <xdr:nvCxnSpPr>
        <xdr:cNvPr id="20" name="Straight Connector 19">
          <a:extLst>
            <a:ext uri="{FF2B5EF4-FFF2-40B4-BE49-F238E27FC236}">
              <a16:creationId xmlns:a16="http://schemas.microsoft.com/office/drawing/2014/main" id="{A53D8168-F30B-4336-A735-3C94CB4C0498}"/>
            </a:ext>
          </a:extLst>
        </xdr:cNvPr>
        <xdr:cNvCxnSpPr/>
      </xdr:nvCxnSpPr>
      <xdr:spPr>
        <a:xfrm flipV="1">
          <a:off x="3833849" y="4953000"/>
          <a:ext cx="6033" cy="630528"/>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164353</xdr:colOff>
      <xdr:row>30</xdr:row>
      <xdr:rowOff>104587</xdr:rowOff>
    </xdr:from>
    <xdr:to>
      <xdr:col>7</xdr:col>
      <xdr:colOff>530412</xdr:colOff>
      <xdr:row>31</xdr:row>
      <xdr:rowOff>149410</xdr:rowOff>
    </xdr:to>
    <xdr:sp macro="" textlink="">
      <xdr:nvSpPr>
        <xdr:cNvPr id="32" name="TextBox 31">
          <a:extLst>
            <a:ext uri="{FF2B5EF4-FFF2-40B4-BE49-F238E27FC236}">
              <a16:creationId xmlns:a16="http://schemas.microsoft.com/office/drawing/2014/main" id="{AB8E051C-9532-478F-A8BC-BDCA192D66E2}"/>
            </a:ext>
          </a:extLst>
        </xdr:cNvPr>
        <xdr:cNvSpPr txBox="1"/>
      </xdr:nvSpPr>
      <xdr:spPr>
        <a:xfrm>
          <a:off x="2614706" y="5460999"/>
          <a:ext cx="1128059" cy="2315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900"/>
            <a:t>test result is ready </a:t>
          </a:r>
        </a:p>
      </xdr:txBody>
    </xdr:sp>
    <xdr:clientData/>
  </xdr:twoCellAnchor>
  <xdr:twoCellAnchor>
    <xdr:from>
      <xdr:col>7</xdr:col>
      <xdr:colOff>171727</xdr:colOff>
      <xdr:row>25</xdr:row>
      <xdr:rowOff>14940</xdr:rowOff>
    </xdr:from>
    <xdr:to>
      <xdr:col>8</xdr:col>
      <xdr:colOff>89647</xdr:colOff>
      <xdr:row>26</xdr:row>
      <xdr:rowOff>14940</xdr:rowOff>
    </xdr:to>
    <xdr:sp macro="" textlink="">
      <xdr:nvSpPr>
        <xdr:cNvPr id="34" name="TextBox 33">
          <a:extLst>
            <a:ext uri="{FF2B5EF4-FFF2-40B4-BE49-F238E27FC236}">
              <a16:creationId xmlns:a16="http://schemas.microsoft.com/office/drawing/2014/main" id="{B401A910-CADD-4BC9-BCF9-9F1A3F235FAC}"/>
            </a:ext>
          </a:extLst>
        </xdr:cNvPr>
        <xdr:cNvSpPr txBox="1"/>
      </xdr:nvSpPr>
      <xdr:spPr>
        <a:xfrm>
          <a:off x="3384080" y="4437528"/>
          <a:ext cx="530508" cy="186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No-LOF </a:t>
          </a:r>
        </a:p>
      </xdr:txBody>
    </xdr:sp>
    <xdr:clientData/>
  </xdr:twoCellAnchor>
  <xdr:twoCellAnchor>
    <xdr:from>
      <xdr:col>7</xdr:col>
      <xdr:colOff>174714</xdr:colOff>
      <xdr:row>26</xdr:row>
      <xdr:rowOff>89647</xdr:rowOff>
    </xdr:from>
    <xdr:to>
      <xdr:col>8</xdr:col>
      <xdr:colOff>104588</xdr:colOff>
      <xdr:row>27</xdr:row>
      <xdr:rowOff>97117</xdr:rowOff>
    </xdr:to>
    <xdr:sp macro="" textlink="">
      <xdr:nvSpPr>
        <xdr:cNvPr id="35" name="TextBox 34">
          <a:extLst>
            <a:ext uri="{FF2B5EF4-FFF2-40B4-BE49-F238E27FC236}">
              <a16:creationId xmlns:a16="http://schemas.microsoft.com/office/drawing/2014/main" id="{5CB6F53A-48B7-434B-BC78-0FC778CA2B3A}"/>
            </a:ext>
          </a:extLst>
        </xdr:cNvPr>
        <xdr:cNvSpPr txBox="1"/>
      </xdr:nvSpPr>
      <xdr:spPr>
        <a:xfrm>
          <a:off x="3387067" y="4699000"/>
          <a:ext cx="542462" cy="194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LOF </a:t>
          </a:r>
        </a:p>
      </xdr:txBody>
    </xdr:sp>
    <xdr:clientData/>
  </xdr:twoCellAnchor>
  <xdr:twoCellAnchor>
    <xdr:from>
      <xdr:col>8</xdr:col>
      <xdr:colOff>264354</xdr:colOff>
      <xdr:row>22</xdr:row>
      <xdr:rowOff>170332</xdr:rowOff>
    </xdr:from>
    <xdr:to>
      <xdr:col>10</xdr:col>
      <xdr:colOff>349624</xdr:colOff>
      <xdr:row>24</xdr:row>
      <xdr:rowOff>55283</xdr:rowOff>
    </xdr:to>
    <xdr:sp macro="" textlink="">
      <xdr:nvSpPr>
        <xdr:cNvPr id="36" name="TextBox 35">
          <a:extLst>
            <a:ext uri="{FF2B5EF4-FFF2-40B4-BE49-F238E27FC236}">
              <a16:creationId xmlns:a16="http://schemas.microsoft.com/office/drawing/2014/main" id="{DE629005-0EC6-4D81-94D7-FC12A4CF6F3E}"/>
            </a:ext>
          </a:extLst>
        </xdr:cNvPr>
        <xdr:cNvSpPr txBox="1"/>
      </xdr:nvSpPr>
      <xdr:spPr>
        <a:xfrm>
          <a:off x="4089295" y="3987803"/>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8</xdr:col>
      <xdr:colOff>267343</xdr:colOff>
      <xdr:row>24</xdr:row>
      <xdr:rowOff>143436</xdr:rowOff>
    </xdr:from>
    <xdr:to>
      <xdr:col>10</xdr:col>
      <xdr:colOff>352613</xdr:colOff>
      <xdr:row>26</xdr:row>
      <xdr:rowOff>73211</xdr:rowOff>
    </xdr:to>
    <xdr:sp macro="" textlink="">
      <xdr:nvSpPr>
        <xdr:cNvPr id="37" name="TextBox 36">
          <a:extLst>
            <a:ext uri="{FF2B5EF4-FFF2-40B4-BE49-F238E27FC236}">
              <a16:creationId xmlns:a16="http://schemas.microsoft.com/office/drawing/2014/main" id="{77C399A3-B159-455D-8D67-B96F42ECF8A3}"/>
            </a:ext>
          </a:extLst>
        </xdr:cNvPr>
        <xdr:cNvSpPr txBox="1"/>
      </xdr:nvSpPr>
      <xdr:spPr>
        <a:xfrm>
          <a:off x="4092284" y="4379260"/>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8</xdr:col>
      <xdr:colOff>277800</xdr:colOff>
      <xdr:row>26</xdr:row>
      <xdr:rowOff>153897</xdr:rowOff>
    </xdr:from>
    <xdr:to>
      <xdr:col>10</xdr:col>
      <xdr:colOff>363070</xdr:colOff>
      <xdr:row>28</xdr:row>
      <xdr:rowOff>83672</xdr:rowOff>
    </xdr:to>
    <xdr:sp macro="" textlink="">
      <xdr:nvSpPr>
        <xdr:cNvPr id="38" name="TextBox 37">
          <a:extLst>
            <a:ext uri="{FF2B5EF4-FFF2-40B4-BE49-F238E27FC236}">
              <a16:creationId xmlns:a16="http://schemas.microsoft.com/office/drawing/2014/main" id="{6CED86F4-248D-4B6B-AE94-59DF00D1FB81}"/>
            </a:ext>
          </a:extLst>
        </xdr:cNvPr>
        <xdr:cNvSpPr txBox="1"/>
      </xdr:nvSpPr>
      <xdr:spPr>
        <a:xfrm>
          <a:off x="4102741" y="4763250"/>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2</xdr:col>
      <xdr:colOff>612587</xdr:colOff>
      <xdr:row>1</xdr:row>
      <xdr:rowOff>0</xdr:rowOff>
    </xdr:from>
    <xdr:to>
      <xdr:col>13</xdr:col>
      <xdr:colOff>7469</xdr:colOff>
      <xdr:row>2</xdr:row>
      <xdr:rowOff>7470</xdr:rowOff>
    </xdr:to>
    <xdr:sp macro="" textlink="">
      <xdr:nvSpPr>
        <xdr:cNvPr id="41" name="TextBox 40">
          <a:extLst>
            <a:ext uri="{FF2B5EF4-FFF2-40B4-BE49-F238E27FC236}">
              <a16:creationId xmlns:a16="http://schemas.microsoft.com/office/drawing/2014/main" id="{57227398-EF28-490F-A317-6B55666E6EB4}"/>
            </a:ext>
          </a:extLst>
        </xdr:cNvPr>
        <xdr:cNvSpPr txBox="1"/>
      </xdr:nvSpPr>
      <xdr:spPr>
        <a:xfrm>
          <a:off x="1225175" y="0"/>
          <a:ext cx="5244353" cy="19423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3</a:t>
          </a:r>
          <a:r>
            <a:rPr lang="en-GB" sz="1050" baseline="0"/>
            <a:t> - 5 days </a:t>
          </a:r>
          <a:endParaRPr lang="en-GB" sz="1050"/>
        </a:p>
      </xdr:txBody>
    </xdr:sp>
    <xdr:clientData/>
  </xdr:twoCellAnchor>
  <xdr:twoCellAnchor>
    <xdr:from>
      <xdr:col>14</xdr:col>
      <xdr:colOff>0</xdr:colOff>
      <xdr:row>1</xdr:row>
      <xdr:rowOff>10459</xdr:rowOff>
    </xdr:from>
    <xdr:to>
      <xdr:col>19</xdr:col>
      <xdr:colOff>605118</xdr:colOff>
      <xdr:row>1</xdr:row>
      <xdr:rowOff>186764</xdr:rowOff>
    </xdr:to>
    <xdr:sp macro="" textlink="">
      <xdr:nvSpPr>
        <xdr:cNvPr id="42" name="TextBox 41">
          <a:extLst>
            <a:ext uri="{FF2B5EF4-FFF2-40B4-BE49-F238E27FC236}">
              <a16:creationId xmlns:a16="http://schemas.microsoft.com/office/drawing/2014/main" id="{FC01CCB4-4A5C-414D-BD98-43CB3CF6331C}"/>
            </a:ext>
          </a:extLst>
        </xdr:cNvPr>
        <xdr:cNvSpPr txBox="1"/>
      </xdr:nvSpPr>
      <xdr:spPr>
        <a:xfrm>
          <a:off x="6611471" y="10459"/>
          <a:ext cx="3668059" cy="17630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 month </a:t>
          </a:r>
        </a:p>
      </xdr:txBody>
    </xdr:sp>
    <xdr:clientData/>
  </xdr:twoCellAnchor>
  <xdr:twoCellAnchor>
    <xdr:from>
      <xdr:col>21</xdr:col>
      <xdr:colOff>222154</xdr:colOff>
      <xdr:row>10</xdr:row>
      <xdr:rowOff>28389</xdr:rowOff>
    </xdr:from>
    <xdr:to>
      <xdr:col>22</xdr:col>
      <xdr:colOff>373530</xdr:colOff>
      <xdr:row>11</xdr:row>
      <xdr:rowOff>144929</xdr:rowOff>
    </xdr:to>
    <xdr:sp macro="" textlink="">
      <xdr:nvSpPr>
        <xdr:cNvPr id="44" name="TextBox 43">
          <a:extLst>
            <a:ext uri="{FF2B5EF4-FFF2-40B4-BE49-F238E27FC236}">
              <a16:creationId xmlns:a16="http://schemas.microsoft.com/office/drawing/2014/main" id="{20EFA804-461B-4AD4-954A-782919F4D25D}"/>
            </a:ext>
          </a:extLst>
        </xdr:cNvPr>
        <xdr:cNvSpPr txBox="1"/>
      </xdr:nvSpPr>
      <xdr:spPr>
        <a:xfrm>
          <a:off x="10658566" y="1978213"/>
          <a:ext cx="763964"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600"/>
            <a:t>ASA </a:t>
          </a:r>
        </a:p>
      </xdr:txBody>
    </xdr:sp>
    <xdr:clientData/>
  </xdr:twoCellAnchor>
  <xdr:twoCellAnchor>
    <xdr:from>
      <xdr:col>1</xdr:col>
      <xdr:colOff>518457</xdr:colOff>
      <xdr:row>21</xdr:row>
      <xdr:rowOff>0</xdr:rowOff>
    </xdr:from>
    <xdr:to>
      <xdr:col>12</xdr:col>
      <xdr:colOff>605117</xdr:colOff>
      <xdr:row>21</xdr:row>
      <xdr:rowOff>167341</xdr:rowOff>
    </xdr:to>
    <xdr:sp macro="" textlink="">
      <xdr:nvSpPr>
        <xdr:cNvPr id="45" name="TextBox 44">
          <a:extLst>
            <a:ext uri="{FF2B5EF4-FFF2-40B4-BE49-F238E27FC236}">
              <a16:creationId xmlns:a16="http://schemas.microsoft.com/office/drawing/2014/main" id="{862FDC51-B1F7-4890-B5A7-E6CCCF56D821}"/>
            </a:ext>
          </a:extLst>
        </xdr:cNvPr>
        <xdr:cNvSpPr txBox="1"/>
      </xdr:nvSpPr>
      <xdr:spPr>
        <a:xfrm>
          <a:off x="518457" y="3817471"/>
          <a:ext cx="5936131" cy="167341"/>
        </a:xfrm>
        <a:prstGeom prst="rect">
          <a:avLst/>
        </a:prstGeom>
        <a:solidFill>
          <a:schemeClr val="accent3"/>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baseline="0"/>
            <a:t>1 - 4 weeks</a:t>
          </a:r>
          <a:endParaRPr lang="en-GB" sz="1050"/>
        </a:p>
      </xdr:txBody>
    </xdr:sp>
    <xdr:clientData/>
  </xdr:twoCellAnchor>
  <xdr:twoCellAnchor>
    <xdr:from>
      <xdr:col>14</xdr:col>
      <xdr:colOff>25400</xdr:colOff>
      <xdr:row>20</xdr:row>
      <xdr:rowOff>170330</xdr:rowOff>
    </xdr:from>
    <xdr:to>
      <xdr:col>20</xdr:col>
      <xdr:colOff>17930</xdr:colOff>
      <xdr:row>21</xdr:row>
      <xdr:rowOff>159870</xdr:rowOff>
    </xdr:to>
    <xdr:sp macro="" textlink="">
      <xdr:nvSpPr>
        <xdr:cNvPr id="46" name="TextBox 45">
          <a:extLst>
            <a:ext uri="{FF2B5EF4-FFF2-40B4-BE49-F238E27FC236}">
              <a16:creationId xmlns:a16="http://schemas.microsoft.com/office/drawing/2014/main" id="{280FC15E-2CF8-4C27-B2A2-A75C6FBF41D1}"/>
            </a:ext>
          </a:extLst>
        </xdr:cNvPr>
        <xdr:cNvSpPr txBox="1"/>
      </xdr:nvSpPr>
      <xdr:spPr>
        <a:xfrm>
          <a:off x="6636871" y="3801036"/>
          <a:ext cx="3668059" cy="176305"/>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12 month </a:t>
          </a:r>
        </a:p>
      </xdr:txBody>
    </xdr:sp>
    <xdr:clientData/>
  </xdr:twoCellAnchor>
  <xdr:twoCellAnchor>
    <xdr:from>
      <xdr:col>14</xdr:col>
      <xdr:colOff>481010</xdr:colOff>
      <xdr:row>22</xdr:row>
      <xdr:rowOff>170330</xdr:rowOff>
    </xdr:from>
    <xdr:to>
      <xdr:col>16</xdr:col>
      <xdr:colOff>140457</xdr:colOff>
      <xdr:row>24</xdr:row>
      <xdr:rowOff>55281</xdr:rowOff>
    </xdr:to>
    <xdr:sp macro="" textlink="">
      <xdr:nvSpPr>
        <xdr:cNvPr id="48" name="TextBox 47">
          <a:extLst>
            <a:ext uri="{FF2B5EF4-FFF2-40B4-BE49-F238E27FC236}">
              <a16:creationId xmlns:a16="http://schemas.microsoft.com/office/drawing/2014/main" id="{9553B309-8987-40FE-B871-B8E0438A78EE}"/>
            </a:ext>
          </a:extLst>
        </xdr:cNvPr>
        <xdr:cNvSpPr txBox="1"/>
      </xdr:nvSpPr>
      <xdr:spPr>
        <a:xfrm>
          <a:off x="7092481" y="4174565"/>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14</xdr:col>
      <xdr:colOff>484000</xdr:colOff>
      <xdr:row>26</xdr:row>
      <xdr:rowOff>143434</xdr:rowOff>
    </xdr:from>
    <xdr:to>
      <xdr:col>16</xdr:col>
      <xdr:colOff>143447</xdr:colOff>
      <xdr:row>28</xdr:row>
      <xdr:rowOff>73208</xdr:rowOff>
    </xdr:to>
    <xdr:sp macro="" textlink="">
      <xdr:nvSpPr>
        <xdr:cNvPr id="50" name="TextBox 49">
          <a:extLst>
            <a:ext uri="{FF2B5EF4-FFF2-40B4-BE49-F238E27FC236}">
              <a16:creationId xmlns:a16="http://schemas.microsoft.com/office/drawing/2014/main" id="{5EB7DDCC-FB82-4C1D-8F6B-DEE91983DEA7}"/>
            </a:ext>
          </a:extLst>
        </xdr:cNvPr>
        <xdr:cNvSpPr txBox="1"/>
      </xdr:nvSpPr>
      <xdr:spPr>
        <a:xfrm>
          <a:off x="7095471" y="4939552"/>
          <a:ext cx="884623"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14</xdr:col>
      <xdr:colOff>479515</xdr:colOff>
      <xdr:row>24</xdr:row>
      <xdr:rowOff>124012</xdr:rowOff>
    </xdr:from>
    <xdr:to>
      <xdr:col>16</xdr:col>
      <xdr:colOff>138962</xdr:colOff>
      <xdr:row>26</xdr:row>
      <xdr:rowOff>53787</xdr:rowOff>
    </xdr:to>
    <xdr:sp macro="" textlink="">
      <xdr:nvSpPr>
        <xdr:cNvPr id="51" name="TextBox 50">
          <a:extLst>
            <a:ext uri="{FF2B5EF4-FFF2-40B4-BE49-F238E27FC236}">
              <a16:creationId xmlns:a16="http://schemas.microsoft.com/office/drawing/2014/main" id="{E3560037-D4B3-4FB4-89E9-6F38A59CB836}"/>
            </a:ext>
          </a:extLst>
        </xdr:cNvPr>
        <xdr:cNvSpPr txBox="1"/>
      </xdr:nvSpPr>
      <xdr:spPr>
        <a:xfrm>
          <a:off x="7090986" y="4546600"/>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20</xdr:col>
      <xdr:colOff>229999</xdr:colOff>
      <xdr:row>28</xdr:row>
      <xdr:rowOff>1495</xdr:rowOff>
    </xdr:from>
    <xdr:to>
      <xdr:col>22</xdr:col>
      <xdr:colOff>174813</xdr:colOff>
      <xdr:row>29</xdr:row>
      <xdr:rowOff>118034</xdr:rowOff>
    </xdr:to>
    <xdr:sp macro="" textlink="">
      <xdr:nvSpPr>
        <xdr:cNvPr id="52" name="TextBox 51">
          <a:extLst>
            <a:ext uri="{FF2B5EF4-FFF2-40B4-BE49-F238E27FC236}">
              <a16:creationId xmlns:a16="http://schemas.microsoft.com/office/drawing/2014/main" id="{634A38C6-B5C8-4393-8DBF-FD495F8BA73D}"/>
            </a:ext>
          </a:extLst>
        </xdr:cNvPr>
        <xdr:cNvSpPr txBox="1"/>
      </xdr:nvSpPr>
      <xdr:spPr>
        <a:xfrm>
          <a:off x="10516999" y="5171142"/>
          <a:ext cx="1169990"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600"/>
            <a:t>ASA </a:t>
          </a:r>
        </a:p>
      </xdr:txBody>
    </xdr:sp>
    <xdr:clientData/>
  </xdr:twoCellAnchor>
  <xdr:twoCellAnchor editAs="oneCell">
    <xdr:from>
      <xdr:col>11</xdr:col>
      <xdr:colOff>478119</xdr:colOff>
      <xdr:row>3</xdr:row>
      <xdr:rowOff>112058</xdr:rowOff>
    </xdr:from>
    <xdr:to>
      <xdr:col>14</xdr:col>
      <xdr:colOff>358590</xdr:colOff>
      <xdr:row>5</xdr:row>
      <xdr:rowOff>97118</xdr:rowOff>
    </xdr:to>
    <xdr:pic>
      <xdr:nvPicPr>
        <xdr:cNvPr id="25" name="Graphic 24" descr="Back with solid fill">
          <a:extLst>
            <a:ext uri="{FF2B5EF4-FFF2-40B4-BE49-F238E27FC236}">
              <a16:creationId xmlns:a16="http://schemas.microsoft.com/office/drawing/2014/main" id="{E4CF6942-42AA-276A-040D-297B3EC1E532}"/>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5715001" y="754529"/>
          <a:ext cx="1255059" cy="358589"/>
        </a:xfrm>
        <a:prstGeom prst="rect">
          <a:avLst/>
        </a:prstGeom>
      </xdr:spPr>
    </xdr:pic>
    <xdr:clientData/>
  </xdr:twoCellAnchor>
  <xdr:twoCellAnchor editAs="oneCell">
    <xdr:from>
      <xdr:col>12</xdr:col>
      <xdr:colOff>141941</xdr:colOff>
      <xdr:row>7</xdr:row>
      <xdr:rowOff>104589</xdr:rowOff>
    </xdr:from>
    <xdr:to>
      <xdr:col>14</xdr:col>
      <xdr:colOff>294341</xdr:colOff>
      <xdr:row>10</xdr:row>
      <xdr:rowOff>22411</xdr:rowOff>
    </xdr:to>
    <xdr:pic>
      <xdr:nvPicPr>
        <xdr:cNvPr id="27" name="Graphic 26" descr="Chevron arrows with solid fill">
          <a:extLst>
            <a:ext uri="{FF2B5EF4-FFF2-40B4-BE49-F238E27FC236}">
              <a16:creationId xmlns:a16="http://schemas.microsoft.com/office/drawing/2014/main" id="{803EF176-13BF-8291-28F0-76634102CC4A}"/>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5991412" y="1494118"/>
          <a:ext cx="914400" cy="478117"/>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Alireza Mahboub-Ahari" id="{106EFA12-6B9C-47C0-8310-BC16D40EDE2F}" userId="S::alireza.mahboub-ahari@manchester.ac.uk::88d9355c-4b7e-49eb-957c-d4205038e1f5" providerId="AD"/>
</personList>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6">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C4" dT="2025-03-14T12:46:11.28" personId="{106EFA12-6B9C-47C0-8310-BC16D40EDE2F}" id="{603C2F11-5E66-4814-B67F-DFFF8E080187}">
    <text xml:space="preserve">We extracted probability of events with ticagrelor (AT) and prasugrel(AP) through adjusting the probability of events with clopidogrel. We first converted probability to odds. Then, we applied the odds ratios reported in the NICE NG 185 meta-analysis to the baseline odds to derive the odds of AC and AT. Finally, we converted the odds of AT and AP back into probability. </text>
  </threadedComment>
  <threadedComment ref="AQ5" dT="2025-03-14T13:22:28.78" personId="{106EFA12-6B9C-47C0-8310-BC16D40EDE2F}" id="{B532BF4A-7683-4B8F-BAB7-FAEDACCA9E7C}">
    <text xml:space="preserve">A large-scale cohort study in the UK, encompassing a population of 2,297,738 individuals, has reported the frequency of CYP2C19 loss-of-function (LOF) alleles. To ensure robustness, we first cross-validated these reported rates against local studies that examined prevalence across different ethnic groups. Following this validation, we applied the prevalence estimates from this cohort to derive the expected frequency of LOF alleles across UK ethnic populations </text>
  </threadedComment>
  <threadedComment ref="BN5" dT="2025-04-04T11:07:14.60" personId="{106EFA12-6B9C-47C0-8310-BC16D40EDE2F}" id="{B2D14A82-65CA-441E-9357-BF1B4A84C412}">
    <text xml:space="preserve">In the base-case analysis, a utility decrement of −0.049 was applied over a 1-month period to reflect the impact of mild-to-moderate dyspnea associated with ticagrelor therapy. This decrement is derived from Kazi et al. (2014), who assumed a −0.049 disutility based on EQ-5D utility losses observed in patients with stable angina, specifically referencing Longworth et al. (2005) as the source for quality-of-life decrements due to breathlessness. Kazi’s sensitivity analyses demonstrated that this value—approximately 6% of baseline QoL at age 65—served as a threshold at which ticagrelor would no longer be cost-effective for carriers of CYP2C19 loss-of-function alleles. Although Kazi et al. presented this value as an annualized decrement, evidence from the PLATO trial and subsequent analyses suggests that ticagrelor-induced dyspnea is typically early-onset and transient, resolving in 2–4 weeks for most patients (Storey et al., 2011; Andell et al., 2015). Supporting this, Howard (2015) incorporated a 3-month duration in modeling but acknowledged that the majority of symptoms resolved sooner. Therefore, in alignment with clinical trajectory and to ensure conservative yet realistic estimates, the disutility is applied over 1 month, resulting in a QALY decrement of 0.00408 per affected patient (0.049 × 1/12). </text>
  </threadedComment>
</ThreadedComments>
</file>

<file path=xl/threadedComments/threadedComment2.xml><?xml version="1.0" encoding="utf-8"?>
<ThreadedComments xmlns="http://schemas.microsoft.com/office/spreadsheetml/2018/threadedcomments" xmlns:x="http://schemas.openxmlformats.org/spreadsheetml/2006/main">
  <threadedComment ref="M3" dT="2025-03-07T22:57:45.67" personId="{106EFA12-6B9C-47C0-8310-BC16D40EDE2F}" id="{0B6DD241-C2BC-4CA7-B00F-DE0F258AE474}">
    <text xml:space="preserve">NG185 initially used the 2017 tariffs for eight ERG codes to estimate the weighted average cost of non-elective PCI for both short‑stay and long‑stay admissions. We updated these estimates using the latest NHS tariffs for the same ERG codes—which have changed since 2017—by adopting the long‑stay values from the NHS 23/25 tariffs. As short‑stay values were not directly available in the updated tariffs, we derived them by applying the observed long‑stay/short‑stay cost ratio reported in NG185 for each ERG code. Finally, we used the FCE data provided in NG185 to calculate an overall weighted average cost for PCI. </text>
  </threadedComment>
  <threadedComment ref="A4" dT="2025-03-08T09:38:07.40" personId="{106EFA12-6B9C-47C0-8310-BC16D40EDE2F}" id="{15A76C50-EE4A-4237-B7E9-57C087DC5DF5}">
    <text xml:space="preserve">The same as NG 185 method, assumptions. </text>
  </threadedComment>
  <threadedComment ref="G4" dT="2025-03-05T14:05:52.56" personId="{106EFA12-6B9C-47C0-8310-BC16D40EDE2F}" id="{2927ABDB-8929-4FF9-B1DC-4F9B233510B8}">
    <text xml:space="preserve">For those who were alive at 1 year intervention costs were calculated taking into account an estimate of average treatment duration of 328 days (90% of the year). The same treatment duration was used for all DAPT options. This basis for the treatment duration is discussed further below. </text>
  </threadedComment>
</ThreadedComments>
</file>

<file path=xl/threadedComments/threadedComment3.xml><?xml version="1.0" encoding="utf-8"?>
<ThreadedComments xmlns="http://schemas.microsoft.com/office/spreadsheetml/2018/threadedcomments" xmlns:x="http://schemas.openxmlformats.org/spreadsheetml/2006/main">
  <threadedComment ref="A2" dT="2025-03-19T11:44:26.56" personId="{106EFA12-6B9C-47C0-8310-BC16D40EDE2F}" id="{C1A7B186-5DD2-4B8F-8F96-1A6B58B951BD}">
    <text xml:space="preserve">To accurately reflect the decline in quality of life with aging, health state utilities in the model were adjusted annually for age and sex. This adjustment prevents the overestimation of Quality-Adjusted Life Years (QALYs) and aligns with best practices in economic modeling. It was also emphasised as a necessary component in the NICE Technology Appraisal (TA) evidence review for rivaroxaban. And NICE NG-185. 
Age-specific general population EQ-5D-3L utilities were calculated each year using the formula from Ara (2010):
Utility=0.9508566+0.0212126×Male−0.0002587×Age−0.0000332×⁅Age ⁆⁅2⁆⁅ ⁆Utility=0.9508566+0.0212126×Male−0.0002587×Age−0.0000332×Age2 
where:
Male = 1 for males and 0 for females.
Age is expressed in years.
The average age and gender distribution of the population were incorporated into calculations, as detailed in Table 23 (Section 2.3.4). The resulting age-adjusted general population utilities were then combined with health-state-specific utilities using the multiplicative adjustment method, ensuring a more accurate estimation of QALYs over time.
</text>
  </threadedComment>
</ThreadedComments>
</file>

<file path=xl/threadedComments/threadedComment4.xml><?xml version="1.0" encoding="utf-8"?>
<ThreadedComments xmlns="http://schemas.microsoft.com/office/spreadsheetml/2018/threadedcomments" xmlns:x="http://schemas.openxmlformats.org/spreadsheetml/2006/main">
  <threadedComment ref="C4" dT="2025-01-22T10:31:58.63" personId="{106EFA12-6B9C-47C0-8310-BC16D40EDE2F}" id="{77662616-55B5-4DAB-9456-243F05F042AB}">
    <text xml:space="preserve">This study reported the bleeding event and secondary events which we need for our short term model. from the title, it seems that the focus was on bleeding. Then we used the risks reported in this study for bleeding, in our model. there is not well agreement between this study with the literature in terms of the risk of secondary outcomes. </text>
  </threadedComment>
</ThreadedComments>
</file>

<file path=xl/worksheets/_rels/sheet10.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6.bin"/><Relationship Id="rId4" Type="http://schemas.openxmlformats.org/officeDocument/2006/relationships/ctrlProp" Target="../ctrlProps/ctrlProp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hyperlink" Target="https://www.england.nhs.uk/wp-content/uploads/2023/03/23-25NHSPS-amended_Annex-D-Prices-and-cost-adjustments_2024-25.pdf" TargetMode="External"/><Relationship Id="rId1" Type="http://schemas.openxmlformats.org/officeDocument/2006/relationships/hyperlink" Target="https://kar.kent.ac.uk/105685/1/The%20unit%20costs%20of%20health%20and%20social%20care_Final3.pdf" TargetMode="External"/><Relationship Id="rId5" Type="http://schemas.microsoft.com/office/2017/10/relationships/threadedComment" Target="../threadedComments/threadedComment2.xml"/><Relationship Id="rId4" Type="http://schemas.openxmlformats.org/officeDocument/2006/relationships/comments" Target="../comments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6.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4.vml"/><Relationship Id="rId1" Type="http://schemas.openxmlformats.org/officeDocument/2006/relationships/drawing" Target="../drawings/drawing5.xml"/><Relationship Id="rId4" Type="http://schemas.microsoft.com/office/2017/10/relationships/threadedComment" Target="../threadedComments/threadedComment3.xml"/></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doi.org/10.1161/jaha.124.034414" TargetMode="External"/><Relationship Id="rId1" Type="http://schemas.openxmlformats.org/officeDocument/2006/relationships/hyperlink" Target="https://doi.org/10.1161/jaha.124.034414" TargetMode="External"/></Relationships>
</file>

<file path=xl/worksheets/_rels/sheet18.xml.rels><?xml version="1.0" encoding="UTF-8" standalone="yes"?>
<Relationships xmlns="http://schemas.openxmlformats.org/package/2006/relationships"><Relationship Id="rId3" Type="http://schemas.microsoft.com/office/2017/10/relationships/threadedComment" Target="../threadedComments/threadedComment4.xml"/><Relationship Id="rId2" Type="http://schemas.openxmlformats.org/officeDocument/2006/relationships/comments" Target="../comments4.xml"/><Relationship Id="rId1" Type="http://schemas.openxmlformats.org/officeDocument/2006/relationships/vmlDrawing" Target="../drawings/vmlDrawing5.vml"/></Relationships>
</file>

<file path=xl/worksheets/_rels/sheet2.xml.rels><?xml version="1.0" encoding="UTF-8" standalone="yes"?>
<Relationships xmlns="http://schemas.openxmlformats.org/package/2006/relationships"><Relationship Id="rId8" Type="http://schemas.openxmlformats.org/officeDocument/2006/relationships/hyperlink" Target="https://doi.org/10.1016/j.jval.2019.08.002" TargetMode="External"/><Relationship Id="rId13" Type="http://schemas.openxmlformats.org/officeDocument/2006/relationships/hyperlink" Target="https://ovidsp.ovid.com/ovidweb.cgi?T=JS&amp;CSC=Y&amp;NEWS=N&amp;PAGE=fulltext&amp;D=med16&amp;DO=10.1007%2fs10557-019-06896-8" TargetMode="External"/><Relationship Id="rId3" Type="http://schemas.openxmlformats.org/officeDocument/2006/relationships/hyperlink" Target="https://www.nature.com/articles/s41397-019-0069-1" TargetMode="External"/><Relationship Id="rId7" Type="http://schemas.openxmlformats.org/officeDocument/2006/relationships/hyperlink" Target="https://doi.org/10.1016/j.jval.2019.05.015" TargetMode="External"/><Relationship Id="rId12" Type="http://schemas.openxmlformats.org/officeDocument/2006/relationships/hyperlink" Target="https://ovidsp.ovid.com/ovidweb.cgi?T=JS&amp;CSC=Y&amp;NEWS=N&amp;PAGE=fulltext&amp;D=med19&amp;DO=10.1038%2fs41397-020-00204-6" TargetMode="External"/><Relationship Id="rId2" Type="http://schemas.openxmlformats.org/officeDocument/2006/relationships/hyperlink" Target="https://doi.org/10.1093/ehjqcco/qcac031" TargetMode="External"/><Relationship Id="rId1" Type="http://schemas.openxmlformats.org/officeDocument/2006/relationships/hyperlink" Target="https://doi.org/10.1016/j.ijcard.2021.01.044" TargetMode="External"/><Relationship Id="rId6" Type="http://schemas.openxmlformats.org/officeDocument/2006/relationships/hyperlink" Target="https://doi.org/10.2217/pgs-2019-0050" TargetMode="External"/><Relationship Id="rId11" Type="http://schemas.openxmlformats.org/officeDocument/2006/relationships/hyperlink" Target="https://ovidsp.ovid.com/ovidweb.cgi?T=JS&amp;CSC=Y&amp;NEWS=N&amp;PAGE=fulltext&amp;D=med11&amp;DO=10.7326%2fM13-1999" TargetMode="External"/><Relationship Id="rId5" Type="http://schemas.openxmlformats.org/officeDocument/2006/relationships/hyperlink" Target="https://ovidsp.ovid.com/ovidweb.cgi?T=JS&amp;CSC=Y&amp;NEWS=N&amp;PAGE=fulltext&amp;D=med21&amp;DO=10.1007%2fs40256-021-00496-4" TargetMode="External"/><Relationship Id="rId10" Type="http://schemas.openxmlformats.org/officeDocument/2006/relationships/hyperlink" Target="https://ovidsp.ovid.com/ovidweb.cgi?T=JS&amp;CSC=Y&amp;NEWS=N&amp;PAGE=fulltext&amp;D=med14&amp;DO=10.1007%2fs10557-016-6705-y" TargetMode="External"/><Relationship Id="rId4" Type="http://schemas.openxmlformats.org/officeDocument/2006/relationships/hyperlink" Target="https://doi.org/10.2217/pgs-2017-0075" TargetMode="External"/><Relationship Id="rId9" Type="http://schemas.openxmlformats.org/officeDocument/2006/relationships/hyperlink" Target="https://ovidsp.ovid.com/ovidweb.cgi?T=JS&amp;CSC=Y&amp;NEWS=N&amp;PAGE=fulltext&amp;D=med17&amp;DO=10.1038%2fs41397-020-0162-5" TargetMode="External"/><Relationship Id="rId14" Type="http://schemas.openxmlformats.org/officeDocument/2006/relationships/hyperlink" Target="https://ovidsp.ovid.com/ovidweb.cgi?T=JS&amp;CSC=Y&amp;NEWS=N&amp;PAGE=fulltext&amp;D=med15&amp;DO=10.1038%2ftpj.2016.94"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1" Type="http://schemas.openxmlformats.org/officeDocument/2006/relationships/hyperlink" Target="https://www.nice.org.uk/guidance/TA236" TargetMode="External"/></Relationships>
</file>

<file path=xl/worksheets/_rels/sheet6.xml.rels><?xml version="1.0" encoding="UTF-8" standalone="yes"?>
<Relationships xmlns="http://schemas.openxmlformats.org/package/2006/relationships"><Relationship Id="rId13" Type="http://schemas.openxmlformats.org/officeDocument/2006/relationships/hyperlink" Target="https://doi.org/10.1056/nejmoa0904327" TargetMode="External"/><Relationship Id="rId18" Type="http://schemas.openxmlformats.org/officeDocument/2006/relationships/hyperlink" Target="https://hqlo.biomedcentral.com/articles/10.1186/s12955-018-1019-3" TargetMode="External"/><Relationship Id="rId26" Type="http://schemas.openxmlformats.org/officeDocument/2006/relationships/hyperlink" Target="https://www.ncbi.nlm.nih.gov/books/NBK565353/" TargetMode="External"/><Relationship Id="rId39" Type="http://schemas.openxmlformats.org/officeDocument/2006/relationships/hyperlink" Target="https://www.nice.org.uk/process/pmg36/chapter/economic-evaluation-2" TargetMode="External"/><Relationship Id="rId21" Type="http://schemas.openxmlformats.org/officeDocument/2006/relationships/hyperlink" Target="https://doi.org/10.1161/circoutcomes.111.964700" TargetMode="External"/><Relationship Id="rId34" Type="http://schemas.openxmlformats.org/officeDocument/2006/relationships/hyperlink" Target="https://www.ncbi.nlm.nih.gov/books/NBK565353/" TargetMode="External"/><Relationship Id="rId42" Type="http://schemas.openxmlformats.org/officeDocument/2006/relationships/hyperlink" Target="https://www.ncbi.nlm.nih.gov/books/NBK565353/" TargetMode="External"/><Relationship Id="rId47" Type="http://schemas.openxmlformats.org/officeDocument/2006/relationships/hyperlink" Target="https://doi.org/10.1038/s41397-024-00344-z" TargetMode="External"/><Relationship Id="rId7" Type="http://schemas.openxmlformats.org/officeDocument/2006/relationships/hyperlink" Target="https://www.ncbi.nlm.nih.gov/books/NBK565353/" TargetMode="External"/><Relationship Id="rId2" Type="http://schemas.openxmlformats.org/officeDocument/2006/relationships/hyperlink" Target="https://doi.org/10.1161/jaha.124.034414" TargetMode="External"/><Relationship Id="rId16" Type="http://schemas.openxmlformats.org/officeDocument/2006/relationships/hyperlink" Target="https://hqlo.biomedcentral.com/articles/10.1186/s12955-018-1019-3" TargetMode="External"/><Relationship Id="rId29" Type="http://schemas.openxmlformats.org/officeDocument/2006/relationships/hyperlink" Target="https://www.nice.org.uk/process/pmg36/chapter/economic-evaluation-2" TargetMode="External"/><Relationship Id="rId1" Type="http://schemas.openxmlformats.org/officeDocument/2006/relationships/hyperlink" Target="https://doi.org/10.1161/jaha.124.034414" TargetMode="External"/><Relationship Id="rId6" Type="http://schemas.openxmlformats.org/officeDocument/2006/relationships/hyperlink" Target="https://doi.org/10.1093/eurheartj/ehx515" TargetMode="External"/><Relationship Id="rId11" Type="http://schemas.openxmlformats.org/officeDocument/2006/relationships/hyperlink" Target="https://doi.org/10.1111/cts.12830" TargetMode="External"/><Relationship Id="rId24" Type="http://schemas.openxmlformats.org/officeDocument/2006/relationships/hyperlink" Target="https://doi.org/10.1191/135248506ms1280oa" TargetMode="External"/><Relationship Id="rId32" Type="http://schemas.openxmlformats.org/officeDocument/2006/relationships/hyperlink" Target="https://www.ncbi.nlm.nih.gov/books/NBK565353/" TargetMode="External"/><Relationship Id="rId37" Type="http://schemas.openxmlformats.org/officeDocument/2006/relationships/hyperlink" Target="https://www.ncbi.nlm.nih.gov/books/NBK565353/" TargetMode="External"/><Relationship Id="rId40" Type="http://schemas.openxmlformats.org/officeDocument/2006/relationships/hyperlink" Target="https://hqlo.biomedcentral.com/articles/10.1186/s12955-018-1019-3" TargetMode="External"/><Relationship Id="rId45" Type="http://schemas.openxmlformats.org/officeDocument/2006/relationships/hyperlink" Target="https://www.nice.org.uk/guidance/TA236" TargetMode="External"/><Relationship Id="rId5" Type="http://schemas.openxmlformats.org/officeDocument/2006/relationships/hyperlink" Target="https://doi.org/10.1136/openhrt-2018-000951" TargetMode="External"/><Relationship Id="rId15" Type="http://schemas.openxmlformats.org/officeDocument/2006/relationships/hyperlink" Target="https://doi.org/10.1056/nejmoa0904327" TargetMode="External"/><Relationship Id="rId23" Type="http://schemas.openxmlformats.org/officeDocument/2006/relationships/hyperlink" Target="https://doi.org/10.1191/135248506ms1280oa" TargetMode="External"/><Relationship Id="rId28" Type="http://schemas.openxmlformats.org/officeDocument/2006/relationships/hyperlink" Target="https://www.ncbi.nlm.nih.gov/books/NBK565353/" TargetMode="External"/><Relationship Id="rId36" Type="http://schemas.openxmlformats.org/officeDocument/2006/relationships/hyperlink" Target="https://doi.org/10.1161/jaha.124.034414" TargetMode="External"/><Relationship Id="rId10" Type="http://schemas.openxmlformats.org/officeDocument/2006/relationships/hyperlink" Target="https://www.ncbi.nlm.nih.gov/books/NBK565353/" TargetMode="External"/><Relationship Id="rId19" Type="http://schemas.openxmlformats.org/officeDocument/2006/relationships/hyperlink" Target="https://hqlo.biomedcentral.com/articles/10.1186/s12955-018-1019-3" TargetMode="External"/><Relationship Id="rId31" Type="http://schemas.openxmlformats.org/officeDocument/2006/relationships/hyperlink" Target="https://www.nice.org.uk/process/pmg36/chapter/economic-evaluation-2" TargetMode="External"/><Relationship Id="rId44" Type="http://schemas.openxmlformats.org/officeDocument/2006/relationships/hyperlink" Target="https://doi.org/10.1161/jaha.124.034414" TargetMode="External"/><Relationship Id="rId4" Type="http://schemas.openxmlformats.org/officeDocument/2006/relationships/hyperlink" Target="https://www.ncbi.nlm.nih.gov/books/NBK565353/" TargetMode="External"/><Relationship Id="rId9" Type="http://schemas.openxmlformats.org/officeDocument/2006/relationships/hyperlink" Target="https://www.ncbi.nlm.nih.gov/books/NBK565353/" TargetMode="External"/><Relationship Id="rId14" Type="http://schemas.openxmlformats.org/officeDocument/2006/relationships/hyperlink" Target="https://doi.org/10.1056/nejmoa0904327" TargetMode="External"/><Relationship Id="rId22" Type="http://schemas.openxmlformats.org/officeDocument/2006/relationships/hyperlink" Target="https://doi.org/10.1161/circoutcomes.111.964700" TargetMode="External"/><Relationship Id="rId27" Type="http://schemas.openxmlformats.org/officeDocument/2006/relationships/hyperlink" Target="https://www.ncbi.nlm.nih.gov/books/NBK565353/" TargetMode="External"/><Relationship Id="rId30" Type="http://schemas.openxmlformats.org/officeDocument/2006/relationships/hyperlink" Target="https://www.nice.org.uk/process/pmg36/chapter/economic-evaluation-2" TargetMode="External"/><Relationship Id="rId35" Type="http://schemas.openxmlformats.org/officeDocument/2006/relationships/hyperlink" Target="https://www.ncbi.nlm.nih.gov/books/NBK565353/" TargetMode="External"/><Relationship Id="rId43" Type="http://schemas.openxmlformats.org/officeDocument/2006/relationships/hyperlink" Target="https://doi.org/10.1161/jaha.124.034414" TargetMode="External"/><Relationship Id="rId48" Type="http://schemas.openxmlformats.org/officeDocument/2006/relationships/printerSettings" Target="../printerSettings/printerSettings2.bin"/><Relationship Id="rId8" Type="http://schemas.openxmlformats.org/officeDocument/2006/relationships/hyperlink" Target="https://www.ncbi.nlm.nih.gov/books/NBK565353/" TargetMode="External"/><Relationship Id="rId3" Type="http://schemas.openxmlformats.org/officeDocument/2006/relationships/hyperlink" Target="https://www.ncbi.nlm.nih.gov/books/NBK565353/" TargetMode="External"/><Relationship Id="rId12" Type="http://schemas.openxmlformats.org/officeDocument/2006/relationships/hyperlink" Target="https://doi.org/10.1111/cts.12830" TargetMode="External"/><Relationship Id="rId17" Type="http://schemas.openxmlformats.org/officeDocument/2006/relationships/hyperlink" Target="https://hqlo.biomedcentral.com/articles/10.1186/s12955-018-1019-3" TargetMode="External"/><Relationship Id="rId25" Type="http://schemas.openxmlformats.org/officeDocument/2006/relationships/hyperlink" Target="https://www.ncbi.nlm.nih.gov/books/NBK565353/" TargetMode="External"/><Relationship Id="rId33" Type="http://schemas.openxmlformats.org/officeDocument/2006/relationships/hyperlink" Target="https://www.ncbi.nlm.nih.gov/books/NBK565353/" TargetMode="External"/><Relationship Id="rId38" Type="http://schemas.openxmlformats.org/officeDocument/2006/relationships/hyperlink" Target="https://www.nice.org.uk/process/pmg36/chapter/economic-evaluation-2" TargetMode="External"/><Relationship Id="rId46" Type="http://schemas.openxmlformats.org/officeDocument/2006/relationships/hyperlink" Target="https://doi.org/10.1038/s41397-024-00344-z" TargetMode="External"/><Relationship Id="rId20" Type="http://schemas.openxmlformats.org/officeDocument/2006/relationships/hyperlink" Target="https://doi.org/10.1161/circoutcomes.111.964700" TargetMode="External"/><Relationship Id="rId41" Type="http://schemas.openxmlformats.org/officeDocument/2006/relationships/hyperlink" Target="https://www.ncbi.nlm.nih.gov/books/NBK565353/"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s://doi.org/10.1016/j.jns.2016.08.025" TargetMode="External"/><Relationship Id="rId7" Type="http://schemas.microsoft.com/office/2017/10/relationships/threadedComment" Target="../threadedComments/threadedComment1.xml"/><Relationship Id="rId2" Type="http://schemas.openxmlformats.org/officeDocument/2006/relationships/hyperlink" Target="https://doi.org/10.1111/cts.12830" TargetMode="External"/><Relationship Id="rId1" Type="http://schemas.openxmlformats.org/officeDocument/2006/relationships/hyperlink" Target="https://doi.org/10.1161/jaha.124.034414" TargetMode="External"/><Relationship Id="rId6" Type="http://schemas.openxmlformats.org/officeDocument/2006/relationships/comments" Target="../comments1.xml"/><Relationship Id="rId5" Type="http://schemas.openxmlformats.org/officeDocument/2006/relationships/vmlDrawing" Target="../drawings/vmlDrawing1.vml"/><Relationship Id="rId4"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9364B-F03A-48D8-A329-73967B2B802E}">
  <sheetPr codeName="Sheet2"/>
  <dimension ref="A1:P20"/>
  <sheetViews>
    <sheetView showGridLines="0" workbookViewId="0">
      <selection activeCell="D8" sqref="D8"/>
    </sheetView>
  </sheetViews>
  <sheetFormatPr baseColWidth="10" defaultColWidth="8.83203125" defaultRowHeight="15" x14ac:dyDescent="0.2"/>
  <cols>
    <col min="1" max="1" width="37.83203125" customWidth="1"/>
    <col min="2" max="2" width="7.83203125" customWidth="1"/>
    <col min="2000" max="2000" width="2.5" customWidth="1"/>
  </cols>
  <sheetData>
    <row r="1" spans="1:16" x14ac:dyDescent="0.2">
      <c r="A1" s="1" t="s">
        <v>0</v>
      </c>
      <c r="B1" s="567" t="s">
        <v>1</v>
      </c>
      <c r="C1" s="567"/>
      <c r="D1" s="567"/>
      <c r="E1" s="567"/>
      <c r="F1" s="568" t="s">
        <v>2</v>
      </c>
      <c r="G1" s="568"/>
      <c r="H1" s="568"/>
      <c r="I1" s="568"/>
      <c r="J1" s="569" t="s">
        <v>3</v>
      </c>
      <c r="K1" s="569"/>
      <c r="L1" s="569"/>
      <c r="M1" s="570"/>
      <c r="N1" s="571" t="s">
        <v>316</v>
      </c>
      <c r="O1" s="572"/>
      <c r="P1" s="572"/>
    </row>
    <row r="2" spans="1:16" x14ac:dyDescent="0.2">
      <c r="A2" s="2" t="s">
        <v>4</v>
      </c>
      <c r="B2" s="3" t="s">
        <v>5</v>
      </c>
      <c r="C2" t="s">
        <v>6</v>
      </c>
      <c r="D2" s="3" t="s">
        <v>7</v>
      </c>
      <c r="E2" t="s">
        <v>8</v>
      </c>
      <c r="F2" s="3" t="s">
        <v>5</v>
      </c>
      <c r="G2" t="s">
        <v>6</v>
      </c>
      <c r="H2" s="3" t="s">
        <v>7</v>
      </c>
      <c r="I2" t="s">
        <v>8</v>
      </c>
      <c r="J2" s="3" t="s">
        <v>5</v>
      </c>
      <c r="K2" t="s">
        <v>6</v>
      </c>
      <c r="L2" s="3" t="s">
        <v>7</v>
      </c>
      <c r="M2" s="4" t="s">
        <v>8</v>
      </c>
      <c r="N2" s="3" t="s">
        <v>6</v>
      </c>
      <c r="O2" t="s">
        <v>7</v>
      </c>
      <c r="P2" s="3" t="s">
        <v>8</v>
      </c>
    </row>
    <row r="3" spans="1:16" x14ac:dyDescent="0.2">
      <c r="A3" s="5" t="s">
        <v>9</v>
      </c>
      <c r="B3" s="6"/>
      <c r="C3" s="7"/>
      <c r="M3" s="4"/>
    </row>
    <row r="4" spans="1:16" x14ac:dyDescent="0.2">
      <c r="A4" s="5" t="s">
        <v>10</v>
      </c>
      <c r="B4" s="8"/>
      <c r="C4" s="7"/>
      <c r="M4" s="4"/>
    </row>
    <row r="5" spans="1:16" x14ac:dyDescent="0.2">
      <c r="A5" s="5" t="s">
        <v>11</v>
      </c>
      <c r="B5" s="8"/>
      <c r="D5" s="7"/>
      <c r="E5" s="7"/>
      <c r="M5" s="4"/>
    </row>
    <row r="6" spans="1:16" x14ac:dyDescent="0.2">
      <c r="A6" s="5" t="s">
        <v>12</v>
      </c>
      <c r="B6" s="8"/>
      <c r="E6" s="7"/>
      <c r="M6" s="4"/>
    </row>
    <row r="7" spans="1:16" x14ac:dyDescent="0.2">
      <c r="A7" s="5" t="s">
        <v>13</v>
      </c>
      <c r="F7" s="9"/>
      <c r="G7" s="10"/>
      <c r="M7" s="4"/>
    </row>
    <row r="8" spans="1:16" x14ac:dyDescent="0.2">
      <c r="A8" s="5" t="s">
        <v>14</v>
      </c>
      <c r="G8" s="9"/>
      <c r="M8" s="4"/>
    </row>
    <row r="9" spans="1:16" x14ac:dyDescent="0.2">
      <c r="A9" s="5" t="s">
        <v>15</v>
      </c>
      <c r="H9" s="9"/>
      <c r="I9" s="9"/>
      <c r="J9" s="11"/>
      <c r="M9" s="4"/>
    </row>
    <row r="10" spans="1:16" x14ac:dyDescent="0.2">
      <c r="A10" s="5" t="s">
        <v>16</v>
      </c>
      <c r="J10" s="11"/>
      <c r="K10" s="11"/>
      <c r="M10" s="4"/>
    </row>
    <row r="11" spans="1:16" x14ac:dyDescent="0.2">
      <c r="A11" s="5" t="s">
        <v>17</v>
      </c>
      <c r="M11" s="4"/>
    </row>
    <row r="12" spans="1:16" ht="16" thickBot="1" x14ac:dyDescent="0.25">
      <c r="A12" s="12" t="s">
        <v>18</v>
      </c>
      <c r="B12" s="13"/>
      <c r="C12" s="13"/>
      <c r="D12" s="13"/>
      <c r="E12" s="14"/>
      <c r="F12" s="15"/>
      <c r="G12" s="15"/>
      <c r="H12" s="15"/>
      <c r="I12" s="15"/>
      <c r="J12" s="16"/>
      <c r="K12" s="16"/>
      <c r="L12" s="13"/>
      <c r="M12" s="17"/>
    </row>
    <row r="13" spans="1:16" x14ac:dyDescent="0.2">
      <c r="A13" s="5" t="s">
        <v>323</v>
      </c>
      <c r="N13" s="49"/>
    </row>
    <row r="14" spans="1:16" x14ac:dyDescent="0.2">
      <c r="A14" s="5" t="s">
        <v>317</v>
      </c>
    </row>
    <row r="15" spans="1:16" x14ac:dyDescent="0.2">
      <c r="A15" s="5" t="s">
        <v>318</v>
      </c>
    </row>
    <row r="16" spans="1:16" x14ac:dyDescent="0.2">
      <c r="A16" s="5" t="s">
        <v>319</v>
      </c>
    </row>
    <row r="17" spans="1:14" x14ac:dyDescent="0.2">
      <c r="A17" s="5" t="s">
        <v>320</v>
      </c>
    </row>
    <row r="18" spans="1:14" ht="16" thickBot="1" x14ac:dyDescent="0.25">
      <c r="A18" s="12" t="s">
        <v>321</v>
      </c>
      <c r="N18" s="49"/>
    </row>
    <row r="19" spans="1:14" x14ac:dyDescent="0.2">
      <c r="A19" s="5" t="s">
        <v>322</v>
      </c>
    </row>
    <row r="20" spans="1:14" x14ac:dyDescent="0.2">
      <c r="A20" t="s">
        <v>322</v>
      </c>
    </row>
  </sheetData>
  <mergeCells count="4">
    <mergeCell ref="B1:E1"/>
    <mergeCell ref="F1:I1"/>
    <mergeCell ref="J1:M1"/>
    <mergeCell ref="N1:P1"/>
  </mergeCells>
  <phoneticPr fontId="4"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9B354F-E70A-4FE1-BE81-BCEC4964482B}">
  <dimension ref="C2:AA73"/>
  <sheetViews>
    <sheetView workbookViewId="0">
      <pane ySplit="4" topLeftCell="A5" activePane="bottomLeft" state="frozen"/>
      <selection activeCell="B1" sqref="B1"/>
      <selection pane="bottomLeft" activeCell="W4" sqref="W4"/>
    </sheetView>
  </sheetViews>
  <sheetFormatPr baseColWidth="10" defaultColWidth="8.83203125" defaultRowHeight="15" x14ac:dyDescent="0.2"/>
  <cols>
    <col min="2" max="2" width="17.83203125" customWidth="1"/>
    <col min="3" max="3" width="6.1640625" style="372" customWidth="1"/>
    <col min="4" max="4" width="7.5" style="381" customWidth="1"/>
    <col min="5" max="5" width="10.83203125" style="372" customWidth="1"/>
    <col min="6" max="6" width="6.5" style="372" customWidth="1"/>
    <col min="7" max="7" width="5.83203125" style="372" customWidth="1"/>
    <col min="8" max="8" width="1.1640625" customWidth="1"/>
    <col min="9" max="9" width="10.5" customWidth="1"/>
    <col min="10" max="10" width="1.1640625" customWidth="1"/>
    <col min="11" max="11" width="10.1640625" customWidth="1"/>
    <col min="12" max="12" width="1.1640625" customWidth="1"/>
    <col min="13" max="13" width="12.1640625" customWidth="1"/>
    <col min="14" max="14" width="1.1640625" customWidth="1"/>
    <col min="15" max="15" width="10.5" customWidth="1"/>
    <col min="16" max="16" width="1.1640625" customWidth="1"/>
    <col min="17" max="17" width="12" bestFit="1" customWidth="1"/>
    <col min="18" max="18" width="1" customWidth="1"/>
    <col min="19" max="19" width="9.5" bestFit="1" customWidth="1"/>
    <col min="20" max="20" width="1.1640625" customWidth="1"/>
    <col min="21" max="21" width="10" customWidth="1"/>
    <col min="22" max="22" width="1.1640625" customWidth="1"/>
    <col min="23" max="23" width="10.6640625" customWidth="1"/>
    <col min="24" max="24" width="1.1640625" customWidth="1"/>
    <col min="25" max="25" width="9.1640625" customWidth="1"/>
    <col min="26" max="26" width="1.5" customWidth="1"/>
    <col min="27" max="27" width="10.83203125" customWidth="1"/>
    <col min="2000" max="2000" width="2.5" customWidth="1"/>
    <col min="2004" max="2005" width="2.5" customWidth="1"/>
  </cols>
  <sheetData>
    <row r="2" spans="3:27" s="471" customFormat="1" ht="26" x14ac:dyDescent="0.2">
      <c r="C2" s="469"/>
      <c r="D2" s="470"/>
      <c r="E2" s="469"/>
      <c r="F2" s="469"/>
      <c r="G2" s="469"/>
      <c r="I2" s="485" t="s">
        <v>1254</v>
      </c>
      <c r="J2" s="486"/>
      <c r="K2" s="487" t="s">
        <v>1255</v>
      </c>
      <c r="L2" s="486"/>
      <c r="M2" s="487" t="s">
        <v>1179</v>
      </c>
      <c r="N2" s="486"/>
      <c r="O2" s="487" t="s">
        <v>1256</v>
      </c>
      <c r="P2" s="486"/>
      <c r="Q2" s="487" t="s">
        <v>1004</v>
      </c>
      <c r="R2" s="486"/>
      <c r="S2" s="487" t="s">
        <v>1180</v>
      </c>
      <c r="T2" s="486"/>
      <c r="U2" s="487" t="s">
        <v>1257</v>
      </c>
      <c r="V2" s="486"/>
      <c r="W2" s="487" t="s">
        <v>1000</v>
      </c>
      <c r="X2" s="486"/>
      <c r="Y2" s="488" t="s">
        <v>1005</v>
      </c>
      <c r="Z2" s="470"/>
      <c r="AA2" s="472" t="s">
        <v>1258</v>
      </c>
    </row>
    <row r="3" spans="3:27" ht="6.5" customHeight="1" x14ac:dyDescent="0.2">
      <c r="I3" s="434"/>
      <c r="J3" s="381"/>
      <c r="K3" s="381"/>
      <c r="L3" s="381"/>
      <c r="M3" s="381"/>
      <c r="N3" s="381"/>
      <c r="O3" s="381"/>
      <c r="P3" s="381"/>
      <c r="Q3" s="381"/>
      <c r="R3" s="381"/>
      <c r="S3" s="381"/>
      <c r="T3" s="381"/>
      <c r="U3" s="381"/>
      <c r="V3" s="381"/>
      <c r="W3" s="381"/>
      <c r="X3" s="381"/>
      <c r="Y3" s="436"/>
      <c r="Z3" s="381"/>
      <c r="AA3" s="381"/>
    </row>
    <row r="4" spans="3:27" x14ac:dyDescent="0.2">
      <c r="I4" s="489">
        <f>LYGs_st</f>
        <v>12.577572691372849</v>
      </c>
      <c r="J4" s="427"/>
      <c r="K4" s="433">
        <f>LYGs_poc</f>
        <v>12.683591496907125</v>
      </c>
      <c r="L4" s="427"/>
      <c r="M4" s="440">
        <f>c_st_total</f>
        <v>24745.205553115073</v>
      </c>
      <c r="N4" s="433"/>
      <c r="O4" s="440">
        <f>c_poc_total</f>
        <v>24768.96360148735</v>
      </c>
      <c r="P4" s="433"/>
      <c r="Q4" s="440">
        <f>O4-M4</f>
        <v>23.758048372277699</v>
      </c>
      <c r="R4" s="433"/>
      <c r="S4" s="433">
        <f>qaly_st_total</f>
        <v>6.2896284516827059</v>
      </c>
      <c r="T4" s="433"/>
      <c r="U4" s="490">
        <f>qaly_poc_total</f>
        <v>6.3334212875067504</v>
      </c>
      <c r="V4" s="433"/>
      <c r="W4" s="490">
        <f>U4-S4</f>
        <v>4.3792835824044474E-2</v>
      </c>
      <c r="X4" s="433"/>
      <c r="Y4" s="441">
        <f>Q4/W4</f>
        <v>542.50993170972799</v>
      </c>
      <c r="Z4" s="381"/>
      <c r="AA4" s="394">
        <f>(U4*ce_tresh)-O4</f>
        <v>101899.46214864765</v>
      </c>
    </row>
    <row r="5" spans="3:27" x14ac:dyDescent="0.2">
      <c r="I5" s="377"/>
      <c r="J5" s="381"/>
      <c r="K5" s="377"/>
      <c r="L5" s="381"/>
      <c r="M5" s="394"/>
      <c r="N5" s="377"/>
      <c r="O5" s="394"/>
      <c r="P5" s="377"/>
      <c r="Q5" s="394"/>
      <c r="R5" s="377"/>
      <c r="S5" s="377"/>
      <c r="T5" s="377"/>
      <c r="U5" s="402"/>
      <c r="V5" s="377"/>
      <c r="W5" s="402"/>
      <c r="X5" s="377"/>
      <c r="Y5" s="394"/>
      <c r="Z5" s="381"/>
      <c r="AA5" s="394"/>
    </row>
    <row r="6" spans="3:27" ht="16" thickBot="1" x14ac:dyDescent="0.25">
      <c r="I6" s="377"/>
      <c r="J6" s="381"/>
      <c r="K6" s="377"/>
      <c r="L6" s="381"/>
      <c r="M6" s="394"/>
      <c r="N6" s="377"/>
      <c r="O6" s="394"/>
      <c r="P6" s="377"/>
      <c r="Q6" s="394"/>
      <c r="R6" s="377"/>
      <c r="S6" s="377"/>
      <c r="T6" s="377"/>
      <c r="U6" s="402"/>
      <c r="V6" s="377"/>
      <c r="W6" s="402"/>
      <c r="X6" s="377"/>
      <c r="Y6" s="394"/>
      <c r="Z6" s="381"/>
      <c r="AA6" s="394"/>
    </row>
    <row r="7" spans="3:27" x14ac:dyDescent="0.2">
      <c r="C7" s="605" t="s">
        <v>29</v>
      </c>
      <c r="D7" s="606"/>
      <c r="E7" s="606"/>
      <c r="F7" s="606"/>
      <c r="G7" s="607"/>
      <c r="I7" s="377"/>
      <c r="J7" s="381"/>
      <c r="K7" s="377"/>
      <c r="L7" s="381"/>
      <c r="M7" s="394"/>
      <c r="N7" s="377"/>
      <c r="O7" s="394"/>
      <c r="P7" s="377"/>
      <c r="Q7" s="394"/>
      <c r="R7" s="377"/>
      <c r="S7" s="377"/>
      <c r="T7" s="377"/>
      <c r="U7" s="402"/>
      <c r="V7" s="377"/>
      <c r="W7" s="402"/>
      <c r="X7" s="377"/>
      <c r="Y7" s="394"/>
      <c r="Z7" s="381"/>
      <c r="AA7" s="394"/>
    </row>
    <row r="8" spans="3:27" x14ac:dyDescent="0.2">
      <c r="C8" s="372" t="s">
        <v>1279</v>
      </c>
      <c r="E8" s="372">
        <v>1</v>
      </c>
      <c r="F8" s="372">
        <v>1</v>
      </c>
      <c r="I8" s="377"/>
      <c r="J8" s="381"/>
      <c r="K8" s="377"/>
      <c r="L8" s="381"/>
      <c r="M8" s="394"/>
      <c r="N8" s="377"/>
      <c r="O8" s="394"/>
      <c r="P8" s="377"/>
      <c r="Q8" s="394"/>
      <c r="R8" s="377"/>
      <c r="S8" s="377"/>
      <c r="T8" s="377"/>
      <c r="U8" s="402"/>
      <c r="V8" s="377"/>
      <c r="W8" s="402"/>
      <c r="X8" s="377"/>
      <c r="Y8" s="394"/>
      <c r="Z8" s="381"/>
      <c r="AA8" s="394"/>
    </row>
    <row r="9" spans="3:27" x14ac:dyDescent="0.2">
      <c r="C9" s="372" t="s">
        <v>1280</v>
      </c>
      <c r="E9" s="372">
        <v>2</v>
      </c>
      <c r="I9" s="377"/>
      <c r="J9" s="381"/>
      <c r="K9" s="377"/>
      <c r="L9" s="381"/>
      <c r="M9" s="394"/>
      <c r="N9" s="377"/>
      <c r="O9" s="394"/>
      <c r="P9" s="377"/>
      <c r="Q9" s="394"/>
      <c r="R9" s="377"/>
      <c r="S9" s="377"/>
      <c r="T9" s="377"/>
      <c r="U9" s="402"/>
      <c r="V9" s="377"/>
      <c r="W9" s="402"/>
      <c r="X9" s="377"/>
      <c r="Y9" s="394"/>
      <c r="Z9" s="381"/>
      <c r="AA9" s="394"/>
    </row>
    <row r="10" spans="3:27" x14ac:dyDescent="0.2">
      <c r="I10" s="377"/>
      <c r="J10" s="381"/>
      <c r="K10" s="377"/>
      <c r="L10" s="381"/>
      <c r="M10" s="394"/>
      <c r="N10" s="377"/>
      <c r="O10" s="394"/>
      <c r="P10" s="377"/>
      <c r="Q10" s="394"/>
      <c r="R10" s="377"/>
      <c r="S10" s="377"/>
      <c r="T10" s="377"/>
      <c r="U10" s="402"/>
      <c r="V10" s="377"/>
      <c r="W10" s="402"/>
      <c r="X10" s="377"/>
      <c r="Y10" s="394"/>
      <c r="Z10" s="381"/>
      <c r="AA10" s="394"/>
    </row>
    <row r="11" spans="3:27" ht="16" thickBot="1" x14ac:dyDescent="0.25">
      <c r="C11" s="608"/>
      <c r="D11" s="608"/>
      <c r="E11" s="608"/>
      <c r="F11" s="608"/>
      <c r="G11" s="608"/>
      <c r="H11" s="3"/>
      <c r="I11" s="3"/>
      <c r="J11" s="3"/>
      <c r="K11" s="3"/>
      <c r="L11" s="3"/>
      <c r="M11" s="228"/>
      <c r="Q11" s="228"/>
      <c r="S11" s="165"/>
      <c r="T11" s="165"/>
      <c r="U11" s="165"/>
      <c r="V11" s="165"/>
      <c r="W11" s="226"/>
      <c r="Y11" s="228"/>
    </row>
    <row r="12" spans="3:27" x14ac:dyDescent="0.2">
      <c r="C12" s="609" t="s">
        <v>1183</v>
      </c>
      <c r="D12" s="610"/>
      <c r="E12" s="610"/>
      <c r="F12" s="610"/>
      <c r="G12" s="611"/>
      <c r="H12" s="104"/>
      <c r="I12" s="104"/>
      <c r="J12" s="104"/>
      <c r="K12" s="104"/>
      <c r="L12" s="104"/>
      <c r="M12" s="3"/>
      <c r="N12" s="3"/>
      <c r="O12" s="3"/>
      <c r="P12" s="3"/>
      <c r="Q12" s="3"/>
      <c r="R12" s="3"/>
      <c r="S12" s="165"/>
      <c r="T12" s="165"/>
      <c r="U12" s="165"/>
      <c r="V12" s="165"/>
      <c r="W12" s="165"/>
      <c r="X12" s="3"/>
      <c r="Y12" s="3"/>
    </row>
    <row r="13" spans="3:27" x14ac:dyDescent="0.2">
      <c r="C13" s="408" t="s">
        <v>1178</v>
      </c>
      <c r="D13" s="409">
        <v>0.93</v>
      </c>
      <c r="E13" s="409"/>
      <c r="G13" s="410">
        <v>0.93</v>
      </c>
      <c r="H13" s="173"/>
      <c r="I13" s="165"/>
      <c r="J13" s="173"/>
      <c r="K13" s="165"/>
      <c r="L13" s="173"/>
      <c r="M13" s="228"/>
      <c r="N13" s="3"/>
      <c r="O13" s="228"/>
      <c r="P13" s="3"/>
      <c r="Q13" s="228"/>
      <c r="R13" s="3"/>
      <c r="S13" s="165"/>
      <c r="T13" s="165"/>
      <c r="U13" s="165"/>
      <c r="V13" s="165"/>
      <c r="W13" s="226"/>
      <c r="X13" s="3"/>
      <c r="Y13" s="228"/>
      <c r="AA13" s="228"/>
    </row>
    <row r="14" spans="3:27" ht="16" thickBot="1" x14ac:dyDescent="0.25">
      <c r="C14" s="411" t="s">
        <v>1187</v>
      </c>
      <c r="D14" s="412">
        <v>1</v>
      </c>
      <c r="E14" s="412"/>
      <c r="F14" s="413"/>
      <c r="G14" s="414"/>
      <c r="H14" s="173"/>
      <c r="I14" s="173"/>
      <c r="J14" s="173"/>
      <c r="K14" s="173"/>
      <c r="L14" s="173"/>
      <c r="M14" s="3"/>
      <c r="N14" s="3"/>
      <c r="O14" s="228"/>
      <c r="P14" s="3"/>
      <c r="Q14" s="3"/>
      <c r="R14" s="3"/>
      <c r="S14" s="3"/>
      <c r="T14" s="3"/>
      <c r="U14" s="3"/>
      <c r="V14" s="3"/>
      <c r="W14" s="228"/>
      <c r="X14" s="3"/>
      <c r="Y14" s="404"/>
      <c r="Z14" s="405"/>
    </row>
    <row r="15" spans="3:27" x14ac:dyDescent="0.2">
      <c r="D15" s="409"/>
      <c r="E15" s="409"/>
      <c r="G15" s="409"/>
      <c r="H15" s="173"/>
      <c r="I15" s="173"/>
      <c r="J15" s="173"/>
      <c r="K15" s="173"/>
      <c r="L15" s="173"/>
      <c r="M15" s="3"/>
      <c r="N15" s="3"/>
      <c r="O15" s="228"/>
      <c r="P15" s="3"/>
      <c r="Q15" s="228"/>
      <c r="R15" s="3"/>
      <c r="S15" s="3"/>
      <c r="T15" s="3"/>
      <c r="U15" s="165"/>
      <c r="V15" s="3"/>
      <c r="W15" s="352"/>
      <c r="X15" s="3"/>
      <c r="Y15" s="3"/>
    </row>
    <row r="16" spans="3:27" x14ac:dyDescent="0.2">
      <c r="W16" s="3"/>
      <c r="X16" s="3"/>
      <c r="Y16" s="3"/>
    </row>
    <row r="17" spans="3:27" x14ac:dyDescent="0.2">
      <c r="C17" s="596" t="s">
        <v>1182</v>
      </c>
      <c r="D17" s="597"/>
      <c r="E17" s="597"/>
      <c r="F17" s="597"/>
      <c r="G17" s="598"/>
      <c r="H17" s="104"/>
      <c r="I17" s="165"/>
      <c r="J17" s="165"/>
      <c r="K17" s="165"/>
      <c r="L17" s="104"/>
      <c r="M17" s="228"/>
      <c r="N17" s="228"/>
      <c r="O17" s="228"/>
      <c r="P17" s="228"/>
      <c r="Q17" s="228"/>
      <c r="R17" s="3"/>
      <c r="S17" s="165"/>
      <c r="T17" s="165"/>
      <c r="U17" s="165"/>
      <c r="V17" s="165"/>
      <c r="W17" s="226"/>
      <c r="X17" s="3"/>
      <c r="Y17" s="228"/>
      <c r="AA17" s="228"/>
    </row>
    <row r="18" spans="3:27" x14ac:dyDescent="0.2">
      <c r="C18" s="415" t="s">
        <v>1181</v>
      </c>
      <c r="D18" s="409">
        <v>0.93</v>
      </c>
      <c r="G18" s="410">
        <v>0.93</v>
      </c>
      <c r="H18" s="173"/>
      <c r="I18" s="173"/>
      <c r="J18" s="173"/>
      <c r="K18" s="173"/>
      <c r="L18" s="173"/>
      <c r="M18" s="3"/>
      <c r="N18" s="3"/>
      <c r="O18" s="228"/>
      <c r="P18" s="3"/>
      <c r="Q18" s="228"/>
      <c r="R18" s="3"/>
      <c r="S18" s="3"/>
      <c r="T18" s="3"/>
      <c r="U18" s="3"/>
      <c r="V18" s="3"/>
      <c r="W18" s="3"/>
      <c r="X18" s="3"/>
      <c r="Y18" s="3"/>
    </row>
    <row r="19" spans="3:27" x14ac:dyDescent="0.2">
      <c r="C19" s="416" t="s">
        <v>1187</v>
      </c>
      <c r="D19" s="417">
        <v>1</v>
      </c>
      <c r="E19" s="418"/>
      <c r="F19" s="418"/>
      <c r="G19" s="419"/>
      <c r="M19" s="3"/>
      <c r="N19" s="3"/>
      <c r="O19" s="228"/>
      <c r="P19" s="3"/>
      <c r="Q19" s="3"/>
      <c r="R19" s="3"/>
      <c r="S19" s="3"/>
      <c r="T19" s="3"/>
      <c r="U19" s="3"/>
      <c r="V19" s="3"/>
      <c r="W19" s="228"/>
      <c r="X19" s="3"/>
      <c r="Y19" s="3"/>
    </row>
    <row r="20" spans="3:27" x14ac:dyDescent="0.2">
      <c r="D20" s="378"/>
      <c r="M20" s="3"/>
      <c r="N20" s="3"/>
      <c r="O20" s="228"/>
      <c r="P20" s="3"/>
      <c r="Q20" s="228"/>
      <c r="R20" s="3"/>
      <c r="S20" s="3"/>
      <c r="T20" s="3"/>
      <c r="U20" s="165"/>
      <c r="V20" s="3"/>
      <c r="W20" s="228"/>
      <c r="X20" s="3"/>
      <c r="Y20" s="165"/>
      <c r="Z20" s="405"/>
    </row>
    <row r="21" spans="3:27" x14ac:dyDescent="0.2">
      <c r="D21" s="378"/>
      <c r="Q21" s="218"/>
    </row>
    <row r="22" spans="3:27" x14ac:dyDescent="0.2">
      <c r="C22" s="596" t="s">
        <v>1184</v>
      </c>
      <c r="D22" s="597"/>
      <c r="E22" s="597"/>
      <c r="F22" s="597"/>
      <c r="G22" s="598"/>
      <c r="H22" s="104"/>
      <c r="I22" s="104"/>
      <c r="J22" s="104"/>
      <c r="K22" s="104"/>
      <c r="L22" s="104"/>
    </row>
    <row r="23" spans="3:27" x14ac:dyDescent="0.2">
      <c r="C23" s="420"/>
      <c r="D23" s="421"/>
      <c r="E23" s="421" t="s">
        <v>464</v>
      </c>
      <c r="F23" s="421" t="s">
        <v>465</v>
      </c>
      <c r="G23" s="422" t="s">
        <v>340</v>
      </c>
      <c r="H23" s="3"/>
      <c r="I23" s="3"/>
      <c r="J23" s="3"/>
      <c r="K23" s="3"/>
      <c r="L23" s="3"/>
      <c r="M23" s="228"/>
      <c r="O23" s="228"/>
      <c r="Q23" s="173"/>
      <c r="S23" s="165"/>
      <c r="U23" s="165"/>
      <c r="W23" s="165"/>
      <c r="Y23" s="228"/>
    </row>
    <row r="24" spans="3:27" x14ac:dyDescent="0.2">
      <c r="C24" s="423"/>
      <c r="D24" s="378"/>
      <c r="E24" s="424">
        <v>0.219</v>
      </c>
      <c r="F24" s="424">
        <v>0.55200000000000005</v>
      </c>
      <c r="G24" s="410">
        <v>0.22900000000000001</v>
      </c>
      <c r="H24" s="173"/>
      <c r="I24" s="173"/>
      <c r="J24" s="173"/>
      <c r="K24" s="173"/>
      <c r="L24" s="173"/>
    </row>
    <row r="25" spans="3:27" x14ac:dyDescent="0.2">
      <c r="C25" s="415" t="s">
        <v>1181</v>
      </c>
      <c r="E25" s="409">
        <v>0.219</v>
      </c>
      <c r="F25" s="409">
        <v>0.55200000000000005</v>
      </c>
      <c r="G25" s="425">
        <v>0.22900000000000001</v>
      </c>
      <c r="H25" s="173"/>
      <c r="I25" s="173"/>
      <c r="J25" s="173"/>
      <c r="K25" s="173"/>
      <c r="L25" s="173"/>
    </row>
    <row r="26" spans="3:27" x14ac:dyDescent="0.2">
      <c r="C26" s="415" t="s">
        <v>1196</v>
      </c>
      <c r="E26" s="409">
        <v>0.1</v>
      </c>
      <c r="F26" s="409">
        <v>0.6</v>
      </c>
      <c r="G26" s="425">
        <v>0.3</v>
      </c>
      <c r="H26" s="173"/>
      <c r="I26" s="173"/>
      <c r="J26" s="173"/>
      <c r="K26" s="173"/>
      <c r="L26" s="173"/>
    </row>
    <row r="27" spans="3:27" x14ac:dyDescent="0.2">
      <c r="C27" s="415" t="s">
        <v>201</v>
      </c>
      <c r="E27" s="409">
        <v>0.98</v>
      </c>
      <c r="F27" s="378">
        <v>0.01</v>
      </c>
      <c r="G27" s="426">
        <v>0.01</v>
      </c>
      <c r="H27" s="145"/>
      <c r="I27" s="145"/>
      <c r="J27" s="145"/>
      <c r="K27" s="145"/>
      <c r="L27" s="145"/>
    </row>
    <row r="28" spans="3:27" x14ac:dyDescent="0.2">
      <c r="C28" s="416" t="s">
        <v>1197</v>
      </c>
      <c r="D28" s="427"/>
      <c r="E28" s="428">
        <v>0.1</v>
      </c>
      <c r="F28" s="417">
        <v>0.4</v>
      </c>
      <c r="G28" s="429">
        <v>0.5</v>
      </c>
      <c r="H28" s="145"/>
      <c r="I28" s="145"/>
      <c r="J28" s="145"/>
      <c r="K28" s="145"/>
      <c r="L28" s="145"/>
    </row>
    <row r="29" spans="3:27" x14ac:dyDescent="0.2">
      <c r="E29" s="409"/>
      <c r="F29" s="378"/>
      <c r="G29" s="378"/>
      <c r="H29" s="145"/>
      <c r="I29" s="145"/>
      <c r="J29" s="145"/>
      <c r="K29" s="145"/>
      <c r="L29" s="145"/>
    </row>
    <row r="31" spans="3:27" x14ac:dyDescent="0.2">
      <c r="C31" s="596" t="s">
        <v>1185</v>
      </c>
      <c r="D31" s="597"/>
      <c r="E31" s="597"/>
      <c r="F31" s="597"/>
      <c r="G31" s="598"/>
      <c r="H31" s="104"/>
      <c r="I31" s="104"/>
      <c r="J31" s="104"/>
      <c r="K31" s="104"/>
      <c r="L31" s="104"/>
    </row>
    <row r="32" spans="3:27" x14ac:dyDescent="0.2">
      <c r="C32" s="415"/>
      <c r="G32" s="430">
        <v>0.29699999999999999</v>
      </c>
      <c r="H32" s="3"/>
      <c r="I32" s="3"/>
      <c r="J32" s="3"/>
      <c r="K32" s="3"/>
      <c r="L32" s="3"/>
    </row>
    <row r="33" spans="3:13" x14ac:dyDescent="0.2">
      <c r="C33" s="415" t="s">
        <v>1181</v>
      </c>
      <c r="D33" s="381">
        <v>0.29699999999999999</v>
      </c>
      <c r="G33" s="431"/>
    </row>
    <row r="34" spans="3:13" x14ac:dyDescent="0.2">
      <c r="C34" s="416" t="s">
        <v>1186</v>
      </c>
      <c r="D34" s="427">
        <v>0.56799999999999995</v>
      </c>
      <c r="E34" s="418"/>
      <c r="F34" s="418"/>
      <c r="G34" s="419"/>
    </row>
    <row r="36" spans="3:13" x14ac:dyDescent="0.2">
      <c r="C36" s="596" t="s">
        <v>1188</v>
      </c>
      <c r="D36" s="597"/>
      <c r="E36" s="597"/>
      <c r="F36" s="597"/>
      <c r="G36" s="598"/>
      <c r="H36" s="104"/>
      <c r="I36" s="104"/>
      <c r="J36" s="104"/>
      <c r="K36" s="104"/>
      <c r="L36" s="104"/>
    </row>
    <row r="37" spans="3:13" x14ac:dyDescent="0.2">
      <c r="C37" s="415" t="s">
        <v>1181</v>
      </c>
      <c r="D37" s="377">
        <v>1.24E-2</v>
      </c>
      <c r="G37" s="432">
        <v>1.24E-2</v>
      </c>
      <c r="H37" s="165"/>
      <c r="I37" s="165"/>
      <c r="J37" s="165"/>
      <c r="K37" s="165"/>
      <c r="L37" s="165"/>
    </row>
    <row r="38" spans="3:13" x14ac:dyDescent="0.2">
      <c r="C38" s="416" t="s">
        <v>1187</v>
      </c>
      <c r="D38" s="433">
        <v>7.1999999999999998E-3</v>
      </c>
      <c r="E38" s="418">
        <v>7.0000000000000001E-3</v>
      </c>
      <c r="F38" s="418"/>
      <c r="G38" s="419"/>
    </row>
    <row r="39" spans="3:13" x14ac:dyDescent="0.2">
      <c r="D39" s="402"/>
    </row>
    <row r="40" spans="3:13" x14ac:dyDescent="0.2">
      <c r="C40" s="596" t="s">
        <v>1189</v>
      </c>
      <c r="D40" s="597"/>
      <c r="E40" s="597"/>
      <c r="F40" s="597"/>
      <c r="G40" s="598"/>
      <c r="H40" s="104"/>
      <c r="I40" s="104"/>
      <c r="J40" s="104"/>
      <c r="K40" s="104"/>
      <c r="L40" s="104"/>
    </row>
    <row r="41" spans="3:13" x14ac:dyDescent="0.2">
      <c r="C41" s="415" t="s">
        <v>1178</v>
      </c>
      <c r="D41" s="372">
        <v>6.6000000000000003E-2</v>
      </c>
      <c r="G41" s="432">
        <v>6.6000000000000003E-2</v>
      </c>
      <c r="H41" s="165"/>
      <c r="I41" s="165"/>
      <c r="J41" s="165"/>
      <c r="K41" s="165"/>
      <c r="L41" s="165"/>
    </row>
    <row r="42" spans="3:13" x14ac:dyDescent="0.2">
      <c r="C42" s="416" t="s">
        <v>1187</v>
      </c>
      <c r="D42" s="418">
        <v>5.3999999999999999E-2</v>
      </c>
      <c r="E42" s="418"/>
      <c r="F42" s="418"/>
      <c r="G42" s="419"/>
    </row>
    <row r="43" spans="3:13" x14ac:dyDescent="0.2">
      <c r="D43" s="372"/>
    </row>
    <row r="44" spans="3:13" x14ac:dyDescent="0.2">
      <c r="C44" s="596" t="s">
        <v>1193</v>
      </c>
      <c r="D44" s="597"/>
      <c r="E44" s="597"/>
      <c r="F44" s="597"/>
      <c r="G44" s="598"/>
      <c r="H44" s="104"/>
      <c r="I44" s="104"/>
      <c r="J44" s="104"/>
      <c r="K44" s="104"/>
      <c r="L44" s="104"/>
    </row>
    <row r="45" spans="3:13" ht="24" customHeight="1" x14ac:dyDescent="0.2">
      <c r="C45" s="434"/>
      <c r="D45" s="473" t="s">
        <v>1190</v>
      </c>
      <c r="E45" s="473" t="s">
        <v>1191</v>
      </c>
      <c r="F45" s="473" t="s">
        <v>1192</v>
      </c>
      <c r="G45" s="209"/>
      <c r="H45" s="136"/>
      <c r="I45" s="136"/>
      <c r="J45" s="136"/>
      <c r="K45" s="136"/>
      <c r="L45" s="136"/>
      <c r="M45" s="250"/>
    </row>
    <row r="46" spans="3:13" x14ac:dyDescent="0.2">
      <c r="C46" s="434"/>
      <c r="D46" s="435">
        <v>2</v>
      </c>
      <c r="E46" s="435">
        <v>4.5</v>
      </c>
      <c r="F46" s="435">
        <v>3</v>
      </c>
      <c r="G46" s="436"/>
      <c r="H46" s="3"/>
      <c r="I46" s="3"/>
      <c r="J46" s="3"/>
      <c r="K46" s="3"/>
      <c r="L46" s="3"/>
    </row>
    <row r="47" spans="3:13" x14ac:dyDescent="0.2">
      <c r="C47" s="434" t="s">
        <v>1178</v>
      </c>
      <c r="D47" s="381">
        <v>2</v>
      </c>
      <c r="E47" s="381">
        <v>4.5</v>
      </c>
      <c r="F47" s="381">
        <v>3</v>
      </c>
      <c r="G47" s="436"/>
      <c r="H47" s="3"/>
      <c r="I47" s="3"/>
      <c r="J47" s="3"/>
      <c r="K47" s="3"/>
      <c r="L47" s="3"/>
    </row>
    <row r="48" spans="3:13" x14ac:dyDescent="0.2">
      <c r="C48" s="437" t="s">
        <v>1187</v>
      </c>
      <c r="D48" s="427">
        <v>1.6</v>
      </c>
      <c r="E48" s="427">
        <v>3.6</v>
      </c>
      <c r="F48" s="427">
        <v>2.4000000000000004</v>
      </c>
      <c r="G48" s="438"/>
      <c r="H48" s="3"/>
      <c r="I48" s="3"/>
      <c r="J48" s="3"/>
      <c r="K48" s="3"/>
      <c r="L48" s="3"/>
    </row>
    <row r="49" spans="3:12" x14ac:dyDescent="0.2">
      <c r="C49" s="381"/>
      <c r="E49" s="381"/>
      <c r="F49" s="381"/>
      <c r="G49" s="381"/>
      <c r="H49" s="3"/>
      <c r="I49" s="3"/>
      <c r="J49" s="3"/>
      <c r="K49" s="3"/>
      <c r="L49" s="3"/>
    </row>
    <row r="50" spans="3:12" x14ac:dyDescent="0.2">
      <c r="C50" s="589" t="s">
        <v>1194</v>
      </c>
      <c r="D50" s="590"/>
      <c r="E50" s="590"/>
      <c r="F50" s="590"/>
      <c r="G50" s="591"/>
      <c r="H50" s="3"/>
      <c r="I50" s="3"/>
      <c r="J50" s="3"/>
      <c r="K50" s="3"/>
      <c r="L50" s="3"/>
    </row>
    <row r="51" spans="3:12" x14ac:dyDescent="0.2">
      <c r="C51" s="415"/>
      <c r="G51" s="439">
        <v>215</v>
      </c>
      <c r="H51" s="228"/>
      <c r="I51" s="228"/>
      <c r="J51" s="228"/>
      <c r="K51" s="228"/>
      <c r="L51" s="228"/>
    </row>
    <row r="52" spans="3:12" x14ac:dyDescent="0.2">
      <c r="C52" s="415" t="s">
        <v>1181</v>
      </c>
      <c r="D52" s="394">
        <v>215</v>
      </c>
      <c r="G52" s="431"/>
    </row>
    <row r="53" spans="3:12" x14ac:dyDescent="0.2">
      <c r="C53" s="416" t="s">
        <v>1187</v>
      </c>
      <c r="D53" s="440">
        <v>893.20396071179425</v>
      </c>
      <c r="E53" s="418"/>
      <c r="F53" s="418"/>
      <c r="G53" s="441"/>
      <c r="H53" s="228"/>
      <c r="I53" s="228"/>
      <c r="J53" s="228"/>
      <c r="K53" s="228"/>
      <c r="L53" s="228"/>
    </row>
    <row r="54" spans="3:12" x14ac:dyDescent="0.2">
      <c r="D54" s="394"/>
      <c r="G54" s="394"/>
      <c r="H54" s="228"/>
      <c r="I54" s="228"/>
      <c r="J54" s="228"/>
      <c r="K54" s="228"/>
      <c r="L54" s="228"/>
    </row>
    <row r="55" spans="3:12" x14ac:dyDescent="0.2">
      <c r="C55" s="589" t="s">
        <v>1235</v>
      </c>
      <c r="D55" s="590"/>
      <c r="E55" s="590"/>
      <c r="F55" s="590"/>
      <c r="G55" s="591"/>
    </row>
    <row r="56" spans="3:12" ht="16" thickBot="1" x14ac:dyDescent="0.25">
      <c r="C56" s="415"/>
      <c r="D56" s="381" t="s">
        <v>823</v>
      </c>
      <c r="E56" s="372" t="s">
        <v>1234</v>
      </c>
      <c r="G56" s="431"/>
    </row>
    <row r="57" spans="3:12" x14ac:dyDescent="0.2">
      <c r="C57" s="415"/>
      <c r="D57" s="442">
        <v>3.5000000000000003E-2</v>
      </c>
      <c r="E57" s="442">
        <v>3.5000000000000003E-2</v>
      </c>
      <c r="G57" s="431"/>
    </row>
    <row r="58" spans="3:12" x14ac:dyDescent="0.2">
      <c r="C58" s="415" t="s">
        <v>1232</v>
      </c>
      <c r="D58" s="409">
        <v>0</v>
      </c>
      <c r="E58" s="409">
        <v>0</v>
      </c>
      <c r="G58" s="431"/>
    </row>
    <row r="59" spans="3:12" x14ac:dyDescent="0.2">
      <c r="C59" s="415" t="s">
        <v>1181</v>
      </c>
      <c r="D59" s="378">
        <v>3.5000000000000003E-2</v>
      </c>
      <c r="E59" s="378">
        <v>3.5000000000000003E-2</v>
      </c>
      <c r="G59" s="431"/>
    </row>
    <row r="60" spans="3:12" x14ac:dyDescent="0.2">
      <c r="C60" s="416" t="s">
        <v>1233</v>
      </c>
      <c r="D60" s="417">
        <v>1.4999999999999999E-2</v>
      </c>
      <c r="E60" s="417">
        <v>1.4999999999999999E-2</v>
      </c>
      <c r="F60" s="418"/>
      <c r="G60" s="419"/>
    </row>
    <row r="61" spans="3:12" x14ac:dyDescent="0.2">
      <c r="D61" s="377"/>
    </row>
    <row r="62" spans="3:12" x14ac:dyDescent="0.2">
      <c r="C62" s="589" t="s">
        <v>1265</v>
      </c>
      <c r="D62" s="590"/>
      <c r="E62" s="590"/>
      <c r="F62" s="590"/>
      <c r="G62" s="591"/>
    </row>
    <row r="63" spans="3:12" x14ac:dyDescent="0.2">
      <c r="C63" s="415"/>
      <c r="F63" s="474">
        <v>2388.8012902757291</v>
      </c>
    </row>
    <row r="64" spans="3:12" x14ac:dyDescent="0.2">
      <c r="C64" s="603" t="s">
        <v>1181</v>
      </c>
      <c r="D64" s="604"/>
      <c r="E64" s="228">
        <v>2388.8012902757291</v>
      </c>
      <c r="G64" s="431"/>
    </row>
    <row r="65" spans="3:7" x14ac:dyDescent="0.2">
      <c r="C65" s="601" t="s">
        <v>1267</v>
      </c>
      <c r="D65" s="602"/>
      <c r="E65" s="228">
        <v>3528.2167394737421</v>
      </c>
      <c r="G65" s="431"/>
    </row>
    <row r="66" spans="3:7" x14ac:dyDescent="0.2">
      <c r="C66" s="601" t="s">
        <v>1268</v>
      </c>
      <c r="D66" s="602"/>
      <c r="E66" s="228">
        <v>3848.9637157895368</v>
      </c>
      <c r="G66" s="431"/>
    </row>
    <row r="67" spans="3:7" x14ac:dyDescent="0.2">
      <c r="C67" s="601" t="s">
        <v>1269</v>
      </c>
      <c r="D67" s="602"/>
      <c r="E67" s="228">
        <v>4169.7106921053319</v>
      </c>
      <c r="G67" s="431"/>
    </row>
    <row r="68" spans="3:7" x14ac:dyDescent="0.2">
      <c r="C68" s="599" t="s">
        <v>1270</v>
      </c>
      <c r="D68" s="600"/>
      <c r="E68" s="475">
        <v>4490.4576684211261</v>
      </c>
      <c r="F68" s="418"/>
      <c r="G68" s="419"/>
    </row>
    <row r="69" spans="3:7" x14ac:dyDescent="0.2">
      <c r="C69" s="104"/>
      <c r="D69" s="3"/>
    </row>
    <row r="70" spans="3:7" x14ac:dyDescent="0.2">
      <c r="C70" s="589" t="s">
        <v>1271</v>
      </c>
      <c r="D70" s="590"/>
      <c r="E70" s="590"/>
      <c r="F70" s="590"/>
      <c r="G70" s="591"/>
    </row>
    <row r="71" spans="3:7" x14ac:dyDescent="0.2">
      <c r="C71" s="233"/>
      <c r="D71" s="3"/>
      <c r="F71" s="474">
        <v>125</v>
      </c>
      <c r="G71" s="431"/>
    </row>
    <row r="72" spans="3:7" x14ac:dyDescent="0.2">
      <c r="C72" s="592" t="s">
        <v>1272</v>
      </c>
      <c r="D72" s="593"/>
      <c r="E72" s="476">
        <v>125</v>
      </c>
      <c r="G72" s="431"/>
    </row>
    <row r="73" spans="3:7" x14ac:dyDescent="0.2">
      <c r="C73" s="594"/>
      <c r="D73" s="595"/>
      <c r="E73" s="477">
        <v>250</v>
      </c>
      <c r="F73" s="418"/>
      <c r="G73" s="419"/>
    </row>
  </sheetData>
  <mergeCells count="20">
    <mergeCell ref="C31:G31"/>
    <mergeCell ref="C36:G36"/>
    <mergeCell ref="C7:G7"/>
    <mergeCell ref="C11:G11"/>
    <mergeCell ref="C12:G12"/>
    <mergeCell ref="C17:G17"/>
    <mergeCell ref="C22:G22"/>
    <mergeCell ref="C70:G70"/>
    <mergeCell ref="C72:D72"/>
    <mergeCell ref="C73:D73"/>
    <mergeCell ref="C55:G55"/>
    <mergeCell ref="C40:G40"/>
    <mergeCell ref="C44:G44"/>
    <mergeCell ref="C50:G50"/>
    <mergeCell ref="C68:D68"/>
    <mergeCell ref="C62:G62"/>
    <mergeCell ref="C65:D65"/>
    <mergeCell ref="C66:D66"/>
    <mergeCell ref="C67:D67"/>
    <mergeCell ref="C64:D64"/>
  </mergeCells>
  <dataValidations count="17">
    <dataValidation type="list" allowBlank="1" showInputMessage="1" showErrorMessage="1" sqref="G13:L13" xr:uid="{B23AE67F-36F8-4C62-85ED-568E0C64A512}">
      <formula1>$D$13:$D$14</formula1>
    </dataValidation>
    <dataValidation type="list" allowBlank="1" showInputMessage="1" showErrorMessage="1" sqref="G18:J18 L18" xr:uid="{8C86C904-EED2-4C62-B6F9-2C101F244577}">
      <formula1>$D$18:$D$19</formula1>
    </dataValidation>
    <dataValidation type="list" allowBlank="1" showInputMessage="1" showErrorMessage="1" sqref="E24" xr:uid="{FA02C47B-DD45-4313-A95D-09DCAD631C4A}">
      <formula1>$E$25:$E$28</formula1>
    </dataValidation>
    <dataValidation type="list" allowBlank="1" showInputMessage="1" showErrorMessage="1" sqref="F24" xr:uid="{C95A8686-5133-4023-956C-EF66EC7F299C}">
      <formula1>$F$25:$F$28</formula1>
    </dataValidation>
    <dataValidation type="list" allowBlank="1" showInputMessage="1" showErrorMessage="1" sqref="G24:L24" xr:uid="{5653D721-341E-4002-B21F-4AB2D0C347F3}">
      <formula1>$G$25:$G$28</formula1>
    </dataValidation>
    <dataValidation allowBlank="1" showInputMessage="1" showErrorMessage="1" promptTitle="test order" sqref="D13:E15" xr:uid="{0FBA60FE-FEC5-4BCB-99A4-B05B1A862966}"/>
    <dataValidation type="list" allowBlank="1" showInputMessage="1" showErrorMessage="1" sqref="G32:L32" xr:uid="{13AEEE51-79EE-480F-8F94-72901B08EBED}">
      <formula1>$D$33:$D$34</formula1>
    </dataValidation>
    <dataValidation type="list" allowBlank="1" showInputMessage="1" showErrorMessage="1" sqref="G37:L37" xr:uid="{32B8F199-96F4-4F99-B519-A01D376B163A}">
      <formula1>$D$37:$D$38</formula1>
    </dataValidation>
    <dataValidation type="list" allowBlank="1" showInputMessage="1" showErrorMessage="1" sqref="G41:L41" xr:uid="{FCD1A5DC-75C3-4CEE-AA25-133E2BE91700}">
      <formula1>$D$41:$D$42</formula1>
    </dataValidation>
    <dataValidation type="list" allowBlank="1" showInputMessage="1" showErrorMessage="1" sqref="D46" xr:uid="{995146C3-5A4B-42FE-9B37-7E16D97764FC}">
      <formula1>$D$47:$D$48</formula1>
    </dataValidation>
    <dataValidation type="list" allowBlank="1" showInputMessage="1" showErrorMessage="1" sqref="E46" xr:uid="{9CC15C6C-1052-4DAF-BFCD-95A5250B5659}">
      <formula1>$E$47:$E$48</formula1>
    </dataValidation>
    <dataValidation type="list" allowBlank="1" showInputMessage="1" showErrorMessage="1" sqref="F46" xr:uid="{D1F2D813-7FDD-4A60-AF39-D28C657C4FD9}">
      <formula1>$F$47:$F$48</formula1>
    </dataValidation>
    <dataValidation type="list" allowBlank="1" showInputMessage="1" showErrorMessage="1" sqref="G51:L51" xr:uid="{98B77BF7-88CC-4977-BD5F-DD24D2C6400E}">
      <formula1>$D$52:$D$53</formula1>
    </dataValidation>
    <dataValidation type="list" allowBlank="1" showInputMessage="1" showErrorMessage="1" sqref="D57" xr:uid="{ABC7A0FC-B5CD-4969-90DD-A5CBA05D8E57}">
      <formula1>$D$58:$D$60</formula1>
    </dataValidation>
    <dataValidation type="list" allowBlank="1" showInputMessage="1" showErrorMessage="1" sqref="E57" xr:uid="{57EA219A-FDC1-4EB8-9601-86407FBCC0C5}">
      <formula1>$E$58:$E$60</formula1>
    </dataValidation>
    <dataValidation type="list" allowBlank="1" showInputMessage="1" showErrorMessage="1" sqref="F63" xr:uid="{3CEA9729-0343-44D8-9DB2-06C778E5A8B5}">
      <formula1>$E$64:$E$68</formula1>
    </dataValidation>
    <dataValidation type="list" allowBlank="1" showInputMessage="1" showErrorMessage="1" sqref="F71" xr:uid="{18E3A93C-A7E0-4A44-BCA7-B5F38E8D49B0}">
      <formula1>$E$72:$E$73</formula1>
    </dataValidation>
  </dataValidation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25601" r:id="rId4" name="Drop Down 1">
              <controlPr defaultSize="0" autoLine="0" autoPict="0">
                <anchor moveWithCells="1">
                  <from>
                    <xdr:col>1</xdr:col>
                    <xdr:colOff>1244600</xdr:colOff>
                    <xdr:row>4</xdr:row>
                    <xdr:rowOff>152400</xdr:rowOff>
                  </from>
                  <to>
                    <xdr:col>7</xdr:col>
                    <xdr:colOff>12700</xdr:colOff>
                    <xdr:row>5</xdr:row>
                    <xdr:rowOff>177800</xdr:rowOff>
                  </to>
                </anchor>
              </controlPr>
            </control>
          </mc:Choice>
        </mc:AlternateContent>
      </controls>
    </mc:Choice>
  </mc:AlternateConten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1E3FC4-C0AB-47BB-BC82-13FEBC66AB91}">
  <dimension ref="B1:N44"/>
  <sheetViews>
    <sheetView showGridLines="0" workbookViewId="0">
      <pane ySplit="1" topLeftCell="A2" activePane="bottomLeft" state="frozen"/>
      <selection pane="bottomLeft" activeCell="F34" sqref="F34"/>
    </sheetView>
  </sheetViews>
  <sheetFormatPr baseColWidth="10" defaultColWidth="8.83203125" defaultRowHeight="12" x14ac:dyDescent="0.15"/>
  <cols>
    <col min="1" max="1" width="2.1640625" style="381" customWidth="1"/>
    <col min="2" max="2" width="21.83203125" style="470" customWidth="1"/>
    <col min="3" max="3" width="0.83203125" style="552" customWidth="1"/>
    <col min="4" max="4" width="10.5" style="381" customWidth="1"/>
    <col min="5" max="5" width="1.1640625" style="552" customWidth="1"/>
    <col min="6" max="10" width="8.6640625" style="381" customWidth="1"/>
    <col min="11" max="11" width="11.1640625" style="381" customWidth="1"/>
    <col min="12" max="12" width="0.83203125" style="435" customWidth="1"/>
    <col min="13" max="13" width="10.83203125" style="381" customWidth="1"/>
    <col min="14" max="14" width="9.1640625" style="381" customWidth="1"/>
    <col min="15" max="1999" width="8.83203125" style="381"/>
    <col min="2000" max="2000" width="2.1640625" style="381" customWidth="1"/>
    <col min="2001" max="2001" width="8.83203125" style="381"/>
    <col min="2002" max="2003" width="2.5" style="381" customWidth="1"/>
    <col min="2004" max="16384" width="8.83203125" style="381"/>
  </cols>
  <sheetData>
    <row r="1" spans="2:14" s="435" customFormat="1" ht="13" x14ac:dyDescent="0.15">
      <c r="B1" s="495" t="s">
        <v>913</v>
      </c>
      <c r="C1" s="552"/>
      <c r="D1" s="435" t="s">
        <v>1273</v>
      </c>
      <c r="E1" s="552"/>
      <c r="F1" s="435" t="s">
        <v>1281</v>
      </c>
      <c r="G1" s="435" t="s">
        <v>335</v>
      </c>
      <c r="H1" s="435" t="s">
        <v>377</v>
      </c>
      <c r="I1" s="435" t="s">
        <v>1298</v>
      </c>
      <c r="J1" s="435" t="s">
        <v>1299</v>
      </c>
      <c r="K1" s="435" t="s">
        <v>1274</v>
      </c>
      <c r="M1" s="435" t="s">
        <v>1278</v>
      </c>
    </row>
    <row r="2" spans="2:14" ht="5.5" customHeight="1" x14ac:dyDescent="0.15">
      <c r="B2" s="478"/>
    </row>
    <row r="3" spans="2:14" x14ac:dyDescent="0.15">
      <c r="B3" s="479" t="s">
        <v>914</v>
      </c>
      <c r="D3" s="553">
        <f t="shared" ref="D3:D36" si="0">IF(model_type=1, F3, M3)</f>
        <v>0.93</v>
      </c>
      <c r="F3" s="553">
        <v>0.93</v>
      </c>
      <c r="G3" s="381">
        <v>235</v>
      </c>
      <c r="H3" s="377" t="s">
        <v>350</v>
      </c>
      <c r="I3" s="452">
        <f t="shared" ref="I3:I4" si="1">F3*G3</f>
        <v>218.55</v>
      </c>
      <c r="J3" s="452">
        <f t="shared" ref="J3:J4" si="2">G3-I3</f>
        <v>16.449999999999989</v>
      </c>
      <c r="K3" s="381" t="s">
        <v>1275</v>
      </c>
      <c r="M3" s="377">
        <f ca="1">MAX(0.5, MIN(1, _xlfn.BETA.INV(RAND(),I3,J3)))</f>
        <v>0.90225542698678096</v>
      </c>
    </row>
    <row r="4" spans="2:14" x14ac:dyDescent="0.15">
      <c r="B4" s="479" t="s">
        <v>915</v>
      </c>
      <c r="D4" s="553">
        <f t="shared" si="0"/>
        <v>0.93</v>
      </c>
      <c r="F4" s="553">
        <v>0.93</v>
      </c>
      <c r="G4" s="381">
        <v>235</v>
      </c>
      <c r="H4" s="377" t="s">
        <v>350</v>
      </c>
      <c r="I4" s="452">
        <f t="shared" si="1"/>
        <v>218.55</v>
      </c>
      <c r="J4" s="452">
        <f t="shared" si="2"/>
        <v>16.449999999999989</v>
      </c>
      <c r="K4" s="381" t="s">
        <v>1275</v>
      </c>
      <c r="M4" s="377">
        <f ca="1">MAX(0.5, MIN(1, _xlfn.BETA.INV(RAND(),I4,J4)))</f>
        <v>0.92471195803540085</v>
      </c>
      <c r="N4" s="377"/>
    </row>
    <row r="5" spans="2:14" x14ac:dyDescent="0.15">
      <c r="B5" s="479" t="s">
        <v>872</v>
      </c>
      <c r="D5" s="377">
        <f t="shared" si="0"/>
        <v>9.7253633201505679E-2</v>
      </c>
      <c r="F5" s="377">
        <v>9.7253633201505679E-2</v>
      </c>
      <c r="G5" s="381">
        <v>41974</v>
      </c>
      <c r="H5" s="377" t="s">
        <v>350</v>
      </c>
      <c r="I5" s="452">
        <f>F5*G5</f>
        <v>4082.1239999999993</v>
      </c>
      <c r="J5" s="452">
        <f>G5-I5</f>
        <v>37891.876000000004</v>
      </c>
      <c r="K5" s="381" t="s">
        <v>1275</v>
      </c>
      <c r="M5" s="377">
        <f ca="1">_xlfn.BETA.INV(RAND(),I5,J5)</f>
        <v>9.6723671127179653E-2</v>
      </c>
    </row>
    <row r="6" spans="2:14" x14ac:dyDescent="0.15">
      <c r="B6" s="479" t="s">
        <v>873</v>
      </c>
      <c r="D6" s="377">
        <f t="shared" si="0"/>
        <v>6.5500000000000003E-2</v>
      </c>
      <c r="F6" s="377">
        <v>6.5500000000000003E-2</v>
      </c>
      <c r="G6" s="381">
        <v>1648</v>
      </c>
      <c r="H6" s="377">
        <v>6.0958802523251596E-3</v>
      </c>
      <c r="I6" s="452">
        <f>F6*G6</f>
        <v>107.944</v>
      </c>
      <c r="J6" s="452">
        <f>G6-I6</f>
        <v>1540.056</v>
      </c>
      <c r="K6" s="381" t="s">
        <v>1275</v>
      </c>
      <c r="M6" s="377">
        <f t="shared" ref="M6:M9" ca="1" si="3">_xlfn.BETA.INV(RAND(),I6,J6)</f>
        <v>7.7685766364025355E-2</v>
      </c>
    </row>
    <row r="7" spans="2:14" x14ac:dyDescent="0.15">
      <c r="B7" s="479" t="s">
        <v>874</v>
      </c>
      <c r="D7" s="377">
        <f t="shared" si="0"/>
        <v>1.24E-2</v>
      </c>
      <c r="F7" s="377">
        <v>1.24E-2</v>
      </c>
      <c r="G7" s="381">
        <v>11653</v>
      </c>
      <c r="H7" s="377">
        <v>1.0260441208098795E-3</v>
      </c>
      <c r="I7" s="452">
        <f>F7*G7</f>
        <v>144.49719999999999</v>
      </c>
      <c r="J7" s="452">
        <f>G7-I7</f>
        <v>11508.5028</v>
      </c>
      <c r="K7" s="381" t="s">
        <v>1275</v>
      </c>
      <c r="M7" s="377">
        <f t="shared" ca="1" si="3"/>
        <v>1.0676408440454999E-2</v>
      </c>
    </row>
    <row r="8" spans="2:14" x14ac:dyDescent="0.15">
      <c r="B8" s="479" t="s">
        <v>875</v>
      </c>
      <c r="D8" s="377">
        <f t="shared" si="0"/>
        <v>2.1999999999999999E-2</v>
      </c>
      <c r="F8" s="377">
        <v>2.1999999999999999E-2</v>
      </c>
      <c r="G8" s="381">
        <v>1023</v>
      </c>
      <c r="H8" s="377">
        <v>4.5860939877542988E-3</v>
      </c>
      <c r="I8" s="452">
        <f>F8*G8</f>
        <v>22.506</v>
      </c>
      <c r="J8" s="452">
        <f>G8-I8</f>
        <v>1000.494</v>
      </c>
      <c r="K8" s="381" t="s">
        <v>1275</v>
      </c>
      <c r="M8" s="377">
        <f t="shared" ca="1" si="3"/>
        <v>2.7423236163123366E-2</v>
      </c>
    </row>
    <row r="9" spans="2:14" x14ac:dyDescent="0.15">
      <c r="B9" s="479" t="s">
        <v>876</v>
      </c>
      <c r="D9" s="377">
        <f>IF(model_type=1, F9, M9)</f>
        <v>6.0999999999999999E-2</v>
      </c>
      <c r="F9" s="377">
        <v>6.0999999999999999E-2</v>
      </c>
      <c r="G9" s="381">
        <v>1023</v>
      </c>
      <c r="H9" s="377">
        <v>7.4827269324786311E-3</v>
      </c>
      <c r="I9" s="452">
        <f>F9*G9</f>
        <v>62.402999999999999</v>
      </c>
      <c r="J9" s="452">
        <f>G9-I9</f>
        <v>960.59699999999998</v>
      </c>
      <c r="K9" s="381" t="s">
        <v>1275</v>
      </c>
      <c r="M9" s="377">
        <f t="shared" ca="1" si="3"/>
        <v>5.9406587061874981E-2</v>
      </c>
    </row>
    <row r="10" spans="2:14" x14ac:dyDescent="0.15">
      <c r="B10" s="481" t="s">
        <v>916</v>
      </c>
      <c r="D10" s="377">
        <f t="shared" si="0"/>
        <v>0.29699999999999999</v>
      </c>
      <c r="F10" s="381">
        <v>0.29699999999999999</v>
      </c>
      <c r="G10" s="381" t="s">
        <v>350</v>
      </c>
      <c r="H10" s="377">
        <v>0.1</v>
      </c>
      <c r="I10" s="452">
        <f t="shared" ref="I10:I15" si="4">((F10^2)*((1-F10)/H10^2))-F10</f>
        <v>5.9040926999999996</v>
      </c>
      <c r="J10" s="452">
        <f t="shared" ref="J10:J15" si="5">I10*((1-F10)/F10)</f>
        <v>13.9750073</v>
      </c>
      <c r="K10" s="381" t="s">
        <v>1275</v>
      </c>
      <c r="M10" s="377">
        <f ca="1">MAX(0.26, MIN(1, _xlfn.BETA.INV(RAND(),I10,J10)))</f>
        <v>0.26</v>
      </c>
    </row>
    <row r="11" spans="2:14" x14ac:dyDescent="0.15">
      <c r="B11" s="483" t="s">
        <v>505</v>
      </c>
      <c r="D11" s="377">
        <f t="shared" si="0"/>
        <v>0.84199999999999997</v>
      </c>
      <c r="F11" s="381">
        <v>0.84199999999999997</v>
      </c>
      <c r="G11" s="381" t="s">
        <v>350</v>
      </c>
      <c r="H11" s="377">
        <v>2E-3</v>
      </c>
      <c r="I11" s="452">
        <f t="shared" si="4"/>
        <v>28003.236000000001</v>
      </c>
      <c r="J11" s="452">
        <f t="shared" si="5"/>
        <v>5254.764000000001</v>
      </c>
      <c r="K11" s="381" t="s">
        <v>1275</v>
      </c>
      <c r="M11" s="377">
        <f ca="1">_xlfn.BETA.INV(RAND(),I11,J11)</f>
        <v>0.84008698582938846</v>
      </c>
    </row>
    <row r="12" spans="2:14" x14ac:dyDescent="0.15">
      <c r="B12" s="483" t="s">
        <v>501</v>
      </c>
      <c r="D12" s="377">
        <f t="shared" si="0"/>
        <v>0.77900000000000003</v>
      </c>
      <c r="F12" s="381">
        <v>0.77900000000000003</v>
      </c>
      <c r="G12" s="381" t="s">
        <v>350</v>
      </c>
      <c r="H12" s="377">
        <v>0.01</v>
      </c>
      <c r="I12" s="452">
        <f t="shared" si="4"/>
        <v>1340.33961</v>
      </c>
      <c r="J12" s="452">
        <f t="shared" si="5"/>
        <v>380.25038999999992</v>
      </c>
      <c r="K12" s="381" t="s">
        <v>1275</v>
      </c>
      <c r="M12" s="377">
        <f t="shared" ref="M12:M15" ca="1" si="6">_xlfn.BETA.INV(RAND(),I12,J12)</f>
        <v>0.78181561764876362</v>
      </c>
    </row>
    <row r="13" spans="2:14" x14ac:dyDescent="0.15">
      <c r="B13" s="483" t="s">
        <v>506</v>
      </c>
      <c r="D13" s="377">
        <f t="shared" si="0"/>
        <v>0.82099999999999995</v>
      </c>
      <c r="F13" s="381">
        <v>0.82099999999999995</v>
      </c>
      <c r="G13" s="381" t="s">
        <v>350</v>
      </c>
      <c r="H13" s="377">
        <v>3.7999999999999999E-2</v>
      </c>
      <c r="I13" s="452">
        <f t="shared" si="4"/>
        <v>82.733943905817185</v>
      </c>
      <c r="J13" s="452">
        <f t="shared" si="5"/>
        <v>18.038216759002779</v>
      </c>
      <c r="K13" s="381" t="s">
        <v>1275</v>
      </c>
      <c r="M13" s="377">
        <f t="shared" ca="1" si="6"/>
        <v>0.84180284775303016</v>
      </c>
    </row>
    <row r="14" spans="2:14" x14ac:dyDescent="0.15">
      <c r="B14" s="483" t="s">
        <v>507</v>
      </c>
      <c r="D14" s="377">
        <f t="shared" si="0"/>
        <v>0.70299999999999996</v>
      </c>
      <c r="F14" s="381">
        <v>0.70299999999999996</v>
      </c>
      <c r="G14" s="381" t="s">
        <v>350</v>
      </c>
      <c r="H14" s="377">
        <v>0.01</v>
      </c>
      <c r="I14" s="452">
        <f t="shared" si="4"/>
        <v>1467.0977300000002</v>
      </c>
      <c r="J14" s="452">
        <f t="shared" si="5"/>
        <v>619.81227000000024</v>
      </c>
      <c r="K14" s="381" t="s">
        <v>1275</v>
      </c>
      <c r="M14" s="377">
        <f t="shared" ca="1" si="6"/>
        <v>0.6879925367447558</v>
      </c>
    </row>
    <row r="15" spans="2:14" x14ac:dyDescent="0.15">
      <c r="B15" s="483" t="s">
        <v>508</v>
      </c>
      <c r="D15" s="377">
        <f t="shared" si="0"/>
        <v>0.70299999999999996</v>
      </c>
      <c r="F15" s="381">
        <v>0.70299999999999996</v>
      </c>
      <c r="G15" s="381" t="s">
        <v>350</v>
      </c>
      <c r="H15" s="377">
        <v>3.7999999999999999E-2</v>
      </c>
      <c r="I15" s="452">
        <f t="shared" si="4"/>
        <v>100.94525</v>
      </c>
      <c r="J15" s="452">
        <f t="shared" si="5"/>
        <v>42.646855263157903</v>
      </c>
      <c r="K15" s="381" t="s">
        <v>1275</v>
      </c>
      <c r="M15" s="377">
        <f t="shared" ca="1" si="6"/>
        <v>0.71757093720421095</v>
      </c>
    </row>
    <row r="16" spans="2:14" x14ac:dyDescent="0.15">
      <c r="B16" s="480" t="s">
        <v>1296</v>
      </c>
      <c r="D16" s="377">
        <f t="shared" si="0"/>
        <v>2.5999999999999999E-2</v>
      </c>
      <c r="F16" s="381">
        <v>2.5999999999999999E-2</v>
      </c>
      <c r="G16" s="381" t="s">
        <v>350</v>
      </c>
      <c r="H16" s="377">
        <v>5.0000000000000001E-3</v>
      </c>
      <c r="I16" s="452">
        <f>(F16/H16)^2</f>
        <v>27.039999999999992</v>
      </c>
      <c r="J16" s="381">
        <f>(H16^2)/F16</f>
        <v>9.6153846153846159E-4</v>
      </c>
      <c r="K16" s="381" t="s">
        <v>720</v>
      </c>
      <c r="M16" s="377">
        <f ca="1">_xlfn.GAMMA.INV(RAND(),I16,J16)</f>
        <v>2.1825594813546973E-2</v>
      </c>
    </row>
    <row r="17" spans="2:13" x14ac:dyDescent="0.15">
      <c r="B17" s="480" t="s">
        <v>1297</v>
      </c>
      <c r="D17" s="377">
        <f t="shared" si="0"/>
        <v>3.7999999999999999E-2</v>
      </c>
      <c r="F17" s="381">
        <v>3.7999999999999999E-2</v>
      </c>
      <c r="G17" s="381" t="s">
        <v>350</v>
      </c>
      <c r="H17" s="377">
        <v>6.0000000000000001E-3</v>
      </c>
      <c r="I17" s="452">
        <f>(F17/H17)^2</f>
        <v>40.111111111111107</v>
      </c>
      <c r="J17" s="381">
        <f>(H17^2)/F17</f>
        <v>9.4736842105263164E-4</v>
      </c>
      <c r="K17" s="381" t="s">
        <v>720</v>
      </c>
      <c r="M17" s="377">
        <f t="shared" ref="M17:M18" ca="1" si="7">_xlfn.GAMMA.INV(RAND(),I17,J17)</f>
        <v>3.154654560268056E-2</v>
      </c>
    </row>
    <row r="18" spans="2:13" x14ac:dyDescent="0.15">
      <c r="B18" s="484" t="s">
        <v>567</v>
      </c>
      <c r="D18" s="394">
        <f t="shared" si="0"/>
        <v>3125</v>
      </c>
      <c r="F18" s="394">
        <v>3125</v>
      </c>
      <c r="G18" s="381" t="s">
        <v>350</v>
      </c>
      <c r="H18" s="394">
        <f>0.2*F18</f>
        <v>625</v>
      </c>
      <c r="I18" s="452">
        <f>(F18/H18)^2</f>
        <v>25</v>
      </c>
      <c r="J18" s="381">
        <f>(H18^2)/F18</f>
        <v>125</v>
      </c>
      <c r="K18" s="381" t="s">
        <v>720</v>
      </c>
      <c r="M18" s="394">
        <f t="shared" ca="1" si="7"/>
        <v>3228.5546349632764</v>
      </c>
    </row>
    <row r="19" spans="2:13" x14ac:dyDescent="0.15">
      <c r="B19" s="482" t="s">
        <v>903</v>
      </c>
      <c r="D19" s="377">
        <f t="shared" si="0"/>
        <v>0.77</v>
      </c>
      <c r="F19" s="381">
        <v>0.77</v>
      </c>
      <c r="G19" s="381" t="s">
        <v>350</v>
      </c>
      <c r="H19" s="377">
        <v>6.5772731964821363E-2</v>
      </c>
      <c r="I19" s="377">
        <f t="shared" ref="I19:I33" si="8">LN(F19)-((H19^2)/2)</f>
        <v>-0.26352779026946566</v>
      </c>
      <c r="J19" s="381">
        <f t="shared" ref="J19:J33" si="9">SQRT( LN( 1 + (H19^2)/(F19^2) ) )</f>
        <v>8.5263931584280042E-2</v>
      </c>
      <c r="K19" s="381" t="s">
        <v>1276</v>
      </c>
      <c r="M19" s="377">
        <f ca="1">_xlfn.LOGNORM.INV(RAND(),I19,J19)</f>
        <v>0.80960882679391999</v>
      </c>
    </row>
    <row r="20" spans="2:13" x14ac:dyDescent="0.15">
      <c r="B20" s="482" t="s">
        <v>904</v>
      </c>
      <c r="D20" s="377">
        <f t="shared" si="0"/>
        <v>0.82</v>
      </c>
      <c r="F20" s="381">
        <v>0.82</v>
      </c>
      <c r="G20" s="381" t="s">
        <v>350</v>
      </c>
      <c r="H20" s="377">
        <v>5.901253466853297E-2</v>
      </c>
      <c r="I20" s="377">
        <f t="shared" si="8"/>
        <v>-0.20019217834784073</v>
      </c>
      <c r="J20" s="381">
        <f t="shared" si="9"/>
        <v>7.1873584362064938E-2</v>
      </c>
      <c r="K20" s="381" t="s">
        <v>1276</v>
      </c>
      <c r="M20" s="377">
        <f t="shared" ref="M20:M35" ca="1" si="10">_xlfn.LOGNORM.INV(RAND(),I20,J20)</f>
        <v>0.84875297165315933</v>
      </c>
    </row>
    <row r="21" spans="2:13" x14ac:dyDescent="0.15">
      <c r="B21" s="482" t="s">
        <v>905</v>
      </c>
      <c r="D21" s="377">
        <f t="shared" si="0"/>
        <v>1.1299999999999999</v>
      </c>
      <c r="F21" s="381">
        <v>1.1299999999999999</v>
      </c>
      <c r="G21" s="381" t="s">
        <v>350</v>
      </c>
      <c r="H21" s="377">
        <v>0.12274921679690325</v>
      </c>
      <c r="I21" s="377">
        <f t="shared" si="8"/>
        <v>0.11468394761212253</v>
      </c>
      <c r="J21" s="381">
        <f t="shared" si="9"/>
        <v>0.10830920712758654</v>
      </c>
      <c r="K21" s="381" t="s">
        <v>1276</v>
      </c>
      <c r="M21" s="377">
        <f t="shared" ca="1" si="10"/>
        <v>1.1241803366957119</v>
      </c>
    </row>
    <row r="22" spans="2:13" x14ac:dyDescent="0.15">
      <c r="B22" s="482" t="s">
        <v>906</v>
      </c>
      <c r="D22" s="377">
        <f t="shared" si="0"/>
        <v>1.04</v>
      </c>
      <c r="F22" s="381">
        <v>1.04</v>
      </c>
      <c r="G22" s="381" t="s">
        <v>350</v>
      </c>
      <c r="H22" s="377">
        <v>4.6510601222947597E-2</v>
      </c>
      <c r="I22" s="377">
        <f t="shared" si="8"/>
        <v>3.8139095140221305E-2</v>
      </c>
      <c r="J22" s="381">
        <f t="shared" si="9"/>
        <v>4.4699394899285094E-2</v>
      </c>
      <c r="K22" s="381" t="s">
        <v>1276</v>
      </c>
      <c r="M22" s="377">
        <f t="shared" ca="1" si="10"/>
        <v>1.0315012444249583</v>
      </c>
    </row>
    <row r="23" spans="2:13" x14ac:dyDescent="0.15">
      <c r="B23" s="482" t="s">
        <v>907</v>
      </c>
      <c r="D23" s="377">
        <f t="shared" si="0"/>
        <v>1.37</v>
      </c>
      <c r="F23" s="381">
        <v>1.37</v>
      </c>
      <c r="G23" s="381" t="s">
        <v>350</v>
      </c>
      <c r="H23" s="377">
        <v>7.0694467407341519E-2</v>
      </c>
      <c r="I23" s="377">
        <f t="shared" si="8"/>
        <v>0.31231188597902976</v>
      </c>
      <c r="J23" s="381">
        <f t="shared" si="9"/>
        <v>5.1567499862614302E-2</v>
      </c>
      <c r="K23" s="381" t="s">
        <v>1276</v>
      </c>
      <c r="M23" s="377">
        <f t="shared" ca="1" si="10"/>
        <v>1.3177274229823523</v>
      </c>
    </row>
    <row r="24" spans="2:13" x14ac:dyDescent="0.15">
      <c r="B24" s="482" t="s">
        <v>908</v>
      </c>
      <c r="D24" s="377">
        <f t="shared" si="0"/>
        <v>1</v>
      </c>
      <c r="F24" s="381">
        <v>1</v>
      </c>
      <c r="G24" s="381" t="s">
        <v>350</v>
      </c>
      <c r="H24" s="377">
        <v>9.616069841840387E-2</v>
      </c>
      <c r="I24" s="377">
        <f t="shared" si="8"/>
        <v>-4.6234399601576106E-3</v>
      </c>
      <c r="J24" s="381">
        <f t="shared" si="9"/>
        <v>9.593950835120886E-2</v>
      </c>
      <c r="K24" s="381" t="s">
        <v>1276</v>
      </c>
      <c r="M24" s="377">
        <f t="shared" ca="1" si="10"/>
        <v>0.68638071489428687</v>
      </c>
    </row>
    <row r="25" spans="2:13" x14ac:dyDescent="0.15">
      <c r="B25" s="482" t="s">
        <v>909</v>
      </c>
      <c r="D25" s="377">
        <f t="shared" si="0"/>
        <v>0.75</v>
      </c>
      <c r="F25" s="381">
        <v>0.75</v>
      </c>
      <c r="G25" s="381" t="s">
        <v>350</v>
      </c>
      <c r="H25" s="377">
        <v>6.1520932861451015E-2</v>
      </c>
      <c r="I25" s="377">
        <f t="shared" si="8"/>
        <v>-0.28957448504185246</v>
      </c>
      <c r="J25" s="381">
        <f t="shared" si="9"/>
        <v>8.189042831381553E-2</v>
      </c>
      <c r="K25" s="381" t="s">
        <v>1276</v>
      </c>
      <c r="M25" s="377">
        <f t="shared" ca="1" si="10"/>
        <v>0.84556417681037321</v>
      </c>
    </row>
    <row r="26" spans="2:13" x14ac:dyDescent="0.15">
      <c r="B26" s="482" t="s">
        <v>910</v>
      </c>
      <c r="D26" s="377">
        <f t="shared" si="0"/>
        <v>0.93</v>
      </c>
      <c r="F26" s="381">
        <v>0.93</v>
      </c>
      <c r="G26" s="381" t="s">
        <v>350</v>
      </c>
      <c r="H26" s="377">
        <v>0.16909230384301435</v>
      </c>
      <c r="I26" s="377">
        <f t="shared" si="8"/>
        <v>-8.686679644430452E-2</v>
      </c>
      <c r="J26" s="381">
        <f t="shared" si="9"/>
        <v>0.18034333814635634</v>
      </c>
      <c r="K26" s="381" t="s">
        <v>1276</v>
      </c>
      <c r="M26" s="377">
        <f t="shared" ca="1" si="10"/>
        <v>0.7241279629811751</v>
      </c>
    </row>
    <row r="27" spans="2:13" x14ac:dyDescent="0.15">
      <c r="B27" s="482" t="s">
        <v>911</v>
      </c>
      <c r="D27" s="377">
        <f t="shared" si="0"/>
        <v>1.43</v>
      </c>
      <c r="F27" s="381">
        <v>1.43</v>
      </c>
      <c r="G27" s="381" t="s">
        <v>350</v>
      </c>
      <c r="H27" s="377">
        <v>0.11509881567506626</v>
      </c>
      <c r="I27" s="377">
        <f t="shared" si="8"/>
        <v>0.35105057558691444</v>
      </c>
      <c r="J27" s="381">
        <f t="shared" si="9"/>
        <v>8.0358777725060504E-2</v>
      </c>
      <c r="K27" s="381" t="s">
        <v>1276</v>
      </c>
      <c r="M27" s="377">
        <f t="shared" ca="1" si="10"/>
        <v>1.3442655239069057</v>
      </c>
    </row>
    <row r="28" spans="2:13" x14ac:dyDescent="0.15">
      <c r="B28" s="482" t="s">
        <v>912</v>
      </c>
      <c r="D28" s="377">
        <f t="shared" si="0"/>
        <v>2.0699999999999998</v>
      </c>
      <c r="F28" s="381">
        <v>2.0699999999999998</v>
      </c>
      <c r="G28" s="381" t="s">
        <v>350</v>
      </c>
      <c r="H28" s="377">
        <v>0.43646104811336311</v>
      </c>
      <c r="I28" s="377">
        <f t="shared" si="8"/>
        <v>0.63229948401716995</v>
      </c>
      <c r="J28" s="381">
        <f t="shared" si="9"/>
        <v>0.2085620455604687</v>
      </c>
      <c r="K28" s="381" t="s">
        <v>1276</v>
      </c>
      <c r="M28" s="377">
        <f t="shared" ca="1" si="10"/>
        <v>2.2006855176437798</v>
      </c>
    </row>
    <row r="29" spans="2:13" x14ac:dyDescent="0.15">
      <c r="B29" s="482" t="s">
        <v>1242</v>
      </c>
      <c r="D29" s="377">
        <f t="shared" si="0"/>
        <v>1</v>
      </c>
      <c r="F29" s="381">
        <v>1</v>
      </c>
      <c r="G29" s="381" t="s">
        <v>350</v>
      </c>
      <c r="H29" s="377">
        <v>0.11384875067051517</v>
      </c>
      <c r="I29" s="377">
        <f t="shared" si="8"/>
        <v>-6.4807690146185641E-3</v>
      </c>
      <c r="J29" s="381">
        <f t="shared" si="9"/>
        <v>0.1134824046446392</v>
      </c>
      <c r="K29" s="381" t="s">
        <v>1276</v>
      </c>
      <c r="M29" s="377">
        <f t="shared" ca="1" si="10"/>
        <v>1.2505795543440108</v>
      </c>
    </row>
    <row r="30" spans="2:13" x14ac:dyDescent="0.15">
      <c r="B30" s="482" t="s">
        <v>1243</v>
      </c>
      <c r="D30" s="377">
        <f t="shared" si="0"/>
        <v>1</v>
      </c>
      <c r="F30" s="381">
        <v>1</v>
      </c>
      <c r="G30" s="381" t="s">
        <v>350</v>
      </c>
      <c r="H30" s="377">
        <v>0.11384875067051517</v>
      </c>
      <c r="I30" s="377">
        <f t="shared" si="8"/>
        <v>-6.4807690146185641E-3</v>
      </c>
      <c r="J30" s="381">
        <f t="shared" si="9"/>
        <v>0.1134824046446392</v>
      </c>
      <c r="K30" s="381" t="s">
        <v>1276</v>
      </c>
      <c r="M30" s="377">
        <f t="shared" ca="1" si="10"/>
        <v>1.0447101732922039</v>
      </c>
    </row>
    <row r="31" spans="2:13" x14ac:dyDescent="0.15">
      <c r="B31" s="482" t="s">
        <v>1244</v>
      </c>
      <c r="D31" s="377">
        <f t="shared" si="0"/>
        <v>1</v>
      </c>
      <c r="F31" s="381">
        <v>1</v>
      </c>
      <c r="G31" s="381" t="s">
        <v>350</v>
      </c>
      <c r="H31" s="377">
        <v>0.11384875067051517</v>
      </c>
      <c r="I31" s="377">
        <f t="shared" si="8"/>
        <v>-6.4807690146185641E-3</v>
      </c>
      <c r="J31" s="381">
        <f t="shared" si="9"/>
        <v>0.1134824046446392</v>
      </c>
      <c r="K31" s="381" t="s">
        <v>1276</v>
      </c>
      <c r="M31" s="377">
        <f t="shared" ca="1" si="10"/>
        <v>0.98261026886860214</v>
      </c>
    </row>
    <row r="32" spans="2:13" x14ac:dyDescent="0.15">
      <c r="B32" s="482" t="s">
        <v>1240</v>
      </c>
      <c r="D32" s="377">
        <f t="shared" si="0"/>
        <v>1</v>
      </c>
      <c r="F32" s="381">
        <v>1</v>
      </c>
      <c r="G32" s="381" t="s">
        <v>350</v>
      </c>
      <c r="H32" s="377">
        <v>7.7112467314523869E-2</v>
      </c>
      <c r="I32" s="377">
        <f t="shared" si="8"/>
        <v>-2.973166307666756E-3</v>
      </c>
      <c r="J32" s="381">
        <f t="shared" si="9"/>
        <v>7.69982009768298E-2</v>
      </c>
      <c r="K32" s="381" t="s">
        <v>1276</v>
      </c>
      <c r="M32" s="377">
        <f t="shared" ca="1" si="10"/>
        <v>0.91028452369770529</v>
      </c>
    </row>
    <row r="33" spans="2:13" x14ac:dyDescent="0.15">
      <c r="B33" s="482" t="s">
        <v>1241</v>
      </c>
      <c r="D33" s="377">
        <f t="shared" si="0"/>
        <v>1</v>
      </c>
      <c r="F33" s="381">
        <v>1</v>
      </c>
      <c r="G33" s="381" t="s">
        <v>350</v>
      </c>
      <c r="H33" s="377">
        <v>7.7112467314523869E-2</v>
      </c>
      <c r="I33" s="377">
        <f t="shared" si="8"/>
        <v>-2.973166307666756E-3</v>
      </c>
      <c r="J33" s="381">
        <f t="shared" si="9"/>
        <v>7.69982009768298E-2</v>
      </c>
      <c r="K33" s="381" t="s">
        <v>1276</v>
      </c>
      <c r="M33" s="377">
        <f t="shared" ca="1" si="10"/>
        <v>1.0322795585370381</v>
      </c>
    </row>
    <row r="34" spans="2:13" x14ac:dyDescent="0.15">
      <c r="B34" s="482" t="s">
        <v>1069</v>
      </c>
      <c r="D34" s="377">
        <f t="shared" si="0"/>
        <v>7.85E-2</v>
      </c>
      <c r="F34" s="377">
        <v>7.85E-2</v>
      </c>
      <c r="G34" s="381">
        <v>4387</v>
      </c>
      <c r="H34" s="377" t="s">
        <v>350</v>
      </c>
      <c r="I34" s="452">
        <f>F34*G34</f>
        <v>344.37950000000001</v>
      </c>
      <c r="J34" s="452">
        <f>G34-I34</f>
        <v>4042.6205</v>
      </c>
      <c r="K34" s="381" t="s">
        <v>1275</v>
      </c>
      <c r="M34" s="377">
        <f t="shared" ref="M34" ca="1" si="11">_xlfn.BETA.INV(RAND(),I34,J34)</f>
        <v>7.7317667845016452E-2</v>
      </c>
    </row>
    <row r="35" spans="2:13" x14ac:dyDescent="0.15">
      <c r="B35" s="482" t="s">
        <v>1072</v>
      </c>
      <c r="D35" s="377">
        <f t="shared" si="0"/>
        <v>1.77</v>
      </c>
      <c r="F35" s="381">
        <v>1.77</v>
      </c>
      <c r="G35" s="381">
        <v>4387</v>
      </c>
      <c r="H35" s="377" t="s">
        <v>1277</v>
      </c>
      <c r="I35" s="377">
        <f>LN(F35)-((H35^2)/2)</f>
        <v>0.5678511415857378</v>
      </c>
      <c r="J35" s="381">
        <f>SQRT( LN( 1 + (H35^2)/(F35^2) ) )</f>
        <v>4.4666977068303006E-2</v>
      </c>
      <c r="K35" s="381" t="s">
        <v>1276</v>
      </c>
      <c r="M35" s="377">
        <f t="shared" ca="1" si="10"/>
        <v>1.7088830575020002</v>
      </c>
    </row>
    <row r="36" spans="2:13" x14ac:dyDescent="0.15">
      <c r="B36" s="482" t="s">
        <v>1077</v>
      </c>
      <c r="D36" s="377">
        <f t="shared" si="0"/>
        <v>4.9000000000000002E-2</v>
      </c>
      <c r="F36" s="381">
        <v>4.9000000000000002E-2</v>
      </c>
      <c r="G36" s="381" t="s">
        <v>350</v>
      </c>
      <c r="H36" s="377">
        <f>0.1*F36</f>
        <v>4.9000000000000007E-3</v>
      </c>
      <c r="I36" s="452">
        <f>(F36/H36)^2</f>
        <v>99.999999999999972</v>
      </c>
      <c r="J36" s="381">
        <f>(H36^2)/F36</f>
        <v>4.9000000000000009E-4</v>
      </c>
      <c r="K36" s="381" t="s">
        <v>1312</v>
      </c>
      <c r="M36" s="377">
        <f ca="1">_xlfn.GAMMA.INV(RAND(), I36,J36)</f>
        <v>4.3129973105213937E-2</v>
      </c>
    </row>
    <row r="37" spans="2:13" s="556" customFormat="1" x14ac:dyDescent="0.15">
      <c r="B37" s="555" t="s">
        <v>1306</v>
      </c>
      <c r="D37" s="557">
        <f t="shared" ref="D37:D44" si="12">IF(model_type=1, F37, M37)</f>
        <v>2.2034500000000002E-2</v>
      </c>
      <c r="F37" s="557">
        <v>2.2034500000000002E-2</v>
      </c>
      <c r="G37" s="556">
        <v>4012</v>
      </c>
      <c r="H37" s="557" t="s">
        <v>350</v>
      </c>
      <c r="I37" s="558">
        <f>F38*G37</f>
        <v>172.51599999999999</v>
      </c>
      <c r="J37" s="558">
        <f>G37-I37</f>
        <v>3839.4839999999999</v>
      </c>
      <c r="K37" s="556" t="s">
        <v>1275</v>
      </c>
      <c r="M37" s="557">
        <f ca="1">_xlfn.BETA.INV(RAND(),I37,J37)</f>
        <v>4.1757560086220002E-2</v>
      </c>
    </row>
    <row r="38" spans="2:13" x14ac:dyDescent="0.15">
      <c r="B38" s="482" t="s">
        <v>1307</v>
      </c>
      <c r="D38" s="377">
        <f t="shared" si="12"/>
        <v>4.2999999999999997E-2</v>
      </c>
      <c r="F38" s="381">
        <f>prob_nevent_to_reinfarc</f>
        <v>4.2999999999999997E-2</v>
      </c>
      <c r="G38" s="381">
        <v>4237</v>
      </c>
      <c r="H38" s="377" t="s">
        <v>350</v>
      </c>
      <c r="I38" s="452">
        <f>F38*G38</f>
        <v>182.19099999999997</v>
      </c>
      <c r="J38" s="452">
        <f>G38-I38</f>
        <v>4054.8090000000002</v>
      </c>
      <c r="K38" s="381" t="s">
        <v>1275</v>
      </c>
      <c r="M38" s="377">
        <f t="shared" ref="M38:M39" ca="1" si="13">_xlfn.BETA.INV(RAND(),I38,J38)</f>
        <v>4.1178109961708786E-2</v>
      </c>
    </row>
    <row r="39" spans="2:13" x14ac:dyDescent="0.15">
      <c r="B39" s="482" t="s">
        <v>1308</v>
      </c>
      <c r="D39" s="377">
        <f t="shared" si="12"/>
        <v>1.12E-2</v>
      </c>
      <c r="F39" s="377">
        <v>1.12E-2</v>
      </c>
      <c r="G39" s="381">
        <v>4387</v>
      </c>
      <c r="H39" s="377" t="s">
        <v>350</v>
      </c>
      <c r="I39" s="452">
        <f>F39*G39</f>
        <v>49.134399999999999</v>
      </c>
      <c r="J39" s="452">
        <f>G39-I39</f>
        <v>4337.8656000000001</v>
      </c>
      <c r="K39" s="381" t="s">
        <v>1275</v>
      </c>
      <c r="M39" s="377">
        <f t="shared" ca="1" si="13"/>
        <v>9.1005913294689399E-3</v>
      </c>
    </row>
    <row r="40" spans="2:13" x14ac:dyDescent="0.15">
      <c r="B40" s="482" t="s">
        <v>892</v>
      </c>
      <c r="C40" s="554"/>
      <c r="D40" s="470">
        <f t="shared" si="12"/>
        <v>2</v>
      </c>
      <c r="E40" s="551"/>
      <c r="F40" s="470">
        <v>2</v>
      </c>
      <c r="G40" s="470">
        <v>371619</v>
      </c>
      <c r="H40" s="470">
        <v>5.1020408163264782E-3</v>
      </c>
      <c r="I40" s="377">
        <f>LN(F40)-((H40^2)/2)</f>
        <v>0.69313416514969961</v>
      </c>
      <c r="J40" s="381">
        <f>SQRT( LN( 1 + (H40^2)/(F40^2) ) )</f>
        <v>2.5510162578394734E-3</v>
      </c>
      <c r="K40" s="381" t="s">
        <v>1276</v>
      </c>
      <c r="M40" s="377">
        <f t="shared" ref="M40:M44" ca="1" si="14">_xlfn.LOGNORM.INV(RAND(),I40,J40)</f>
        <v>2.010010633619018</v>
      </c>
    </row>
    <row r="41" spans="2:13" x14ac:dyDescent="0.15">
      <c r="B41" s="482" t="s">
        <v>893</v>
      </c>
      <c r="C41" s="554"/>
      <c r="D41" s="470">
        <f t="shared" si="12"/>
        <v>4.5</v>
      </c>
      <c r="E41" s="551"/>
      <c r="F41" s="470">
        <v>4.5</v>
      </c>
      <c r="G41" s="470">
        <v>15833</v>
      </c>
      <c r="H41" s="470">
        <v>3.5714285714285858E-2</v>
      </c>
      <c r="I41" s="377">
        <f t="shared" ref="I41:I44" si="15">LN(F41)-((H41^2)/2)</f>
        <v>1.5034396416742333</v>
      </c>
      <c r="J41" s="381">
        <f t="shared" ref="J41:J44" si="16">SQRT( LN( 1 + (H41^2)/(F41^2) ) )</f>
        <v>7.9363829642742287E-3</v>
      </c>
      <c r="K41" s="381" t="s">
        <v>1276</v>
      </c>
      <c r="M41" s="377">
        <f t="shared" ca="1" si="14"/>
        <v>4.4466475007079298</v>
      </c>
    </row>
    <row r="42" spans="2:13" x14ac:dyDescent="0.15">
      <c r="B42" s="482" t="s">
        <v>894</v>
      </c>
      <c r="C42" s="554"/>
      <c r="D42" s="470">
        <f t="shared" si="12"/>
        <v>3</v>
      </c>
      <c r="E42" s="551"/>
      <c r="F42" s="470">
        <v>3</v>
      </c>
      <c r="G42" s="470">
        <v>15833</v>
      </c>
      <c r="H42" s="470">
        <v>2.5510204081632563E-2</v>
      </c>
      <c r="I42" s="377">
        <f t="shared" si="15"/>
        <v>1.0982869034119664</v>
      </c>
      <c r="J42" s="381">
        <f t="shared" si="16"/>
        <v>8.5032476509274441E-3</v>
      </c>
      <c r="K42" s="381" t="s">
        <v>1276</v>
      </c>
      <c r="M42" s="377">
        <f t="shared" ca="1" si="14"/>
        <v>2.9560274621826865</v>
      </c>
    </row>
    <row r="43" spans="2:13" x14ac:dyDescent="0.15">
      <c r="B43" s="482" t="s">
        <v>812</v>
      </c>
      <c r="C43" s="554"/>
      <c r="D43" s="470">
        <f t="shared" si="12"/>
        <v>4.7300000000000004</v>
      </c>
      <c r="E43" s="551"/>
      <c r="F43" s="470">
        <f>smr_stk</f>
        <v>4.7300000000000004</v>
      </c>
      <c r="G43" s="470">
        <v>8324</v>
      </c>
      <c r="H43" s="470">
        <v>0.20663265306122461</v>
      </c>
      <c r="I43" s="377">
        <f t="shared" si="15"/>
        <v>1.5325766758482815</v>
      </c>
      <c r="J43" s="381">
        <f t="shared" si="16"/>
        <v>4.3664729173861667E-2</v>
      </c>
      <c r="K43" s="381" t="s">
        <v>1276</v>
      </c>
      <c r="M43" s="377">
        <f t="shared" ca="1" si="14"/>
        <v>4.3093304668932726</v>
      </c>
    </row>
    <row r="44" spans="2:13" x14ac:dyDescent="0.15">
      <c r="B44" s="482" t="s">
        <v>895</v>
      </c>
      <c r="C44" s="554"/>
      <c r="D44" s="470">
        <f t="shared" si="12"/>
        <v>2.3199999999999998</v>
      </c>
      <c r="E44" s="551"/>
      <c r="F44" s="470">
        <f>smr_post_stk</f>
        <v>2.3199999999999998</v>
      </c>
      <c r="G44" s="470">
        <v>8324</v>
      </c>
      <c r="H44" s="470">
        <v>8.1632653061224567E-2</v>
      </c>
      <c r="I44" s="377">
        <f t="shared" si="15"/>
        <v>0.83823524065531141</v>
      </c>
      <c r="J44" s="381">
        <f t="shared" si="16"/>
        <v>3.5175604685477382E-2</v>
      </c>
      <c r="K44" s="381" t="s">
        <v>1276</v>
      </c>
      <c r="M44" s="377">
        <f t="shared" ca="1" si="14"/>
        <v>2.4159115875464945</v>
      </c>
    </row>
  </sheetData>
  <pageMargins left="0.7" right="0.7" top="0.75" bottom="0.75" header="0.3" footer="0.3"/>
  <pageSetup paperSize="9" orientation="portrait" r:id="rId1"/>
  <ignoredErrors>
    <ignoredError sqref="I34:J34 M34 M10" formula="1"/>
    <ignoredError sqref="H35" numberStoredAsText="1"/>
  </ignoredError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16EFB3-C6C0-478E-BD2C-9BB81E29E68B}">
  <dimension ref="B1:H1007"/>
  <sheetViews>
    <sheetView workbookViewId="0">
      <pane ySplit="6" topLeftCell="A7" activePane="bottomLeft" state="frozen"/>
      <selection pane="bottomLeft" activeCell="B5" sqref="B5"/>
    </sheetView>
  </sheetViews>
  <sheetFormatPr baseColWidth="10" defaultColWidth="8.83203125" defaultRowHeight="12" x14ac:dyDescent="0.15"/>
  <cols>
    <col min="1" max="1" width="8.83203125" style="372"/>
    <col min="2" max="2" width="8.83203125" style="381"/>
    <col min="3" max="1999" width="8.83203125" style="372"/>
    <col min="2000" max="2000" width="2.1640625" style="372" customWidth="1"/>
    <col min="2001" max="16384" width="8.83203125" style="372"/>
  </cols>
  <sheetData>
    <row r="1" spans="2:8" s="386" customFormat="1" x14ac:dyDescent="0.15">
      <c r="B1" s="387"/>
    </row>
    <row r="2" spans="2:8" s="386" customFormat="1" x14ac:dyDescent="0.15">
      <c r="B2" s="387"/>
    </row>
    <row r="3" spans="2:8" s="386" customFormat="1" x14ac:dyDescent="0.15">
      <c r="B3" s="387"/>
    </row>
    <row r="4" spans="2:8" s="386" customFormat="1" x14ac:dyDescent="0.15">
      <c r="B4" s="387"/>
    </row>
    <row r="5" spans="2:8" s="386" customFormat="1" x14ac:dyDescent="0.15">
      <c r="B5" s="387"/>
      <c r="C5" s="612" t="s">
        <v>1303</v>
      </c>
      <c r="D5" s="612"/>
      <c r="E5" s="612" t="s">
        <v>1304</v>
      </c>
      <c r="F5" s="612"/>
      <c r="G5" s="612" t="s">
        <v>1305</v>
      </c>
      <c r="H5" s="612"/>
    </row>
    <row r="6" spans="2:8" x14ac:dyDescent="0.15">
      <c r="B6" s="397" t="s">
        <v>1300</v>
      </c>
      <c r="C6" s="497" t="s">
        <v>1301</v>
      </c>
      <c r="D6" s="497" t="s">
        <v>1302</v>
      </c>
      <c r="E6" s="497" t="s">
        <v>1301</v>
      </c>
      <c r="F6" s="497" t="s">
        <v>1302</v>
      </c>
      <c r="G6" s="497" t="s">
        <v>1301</v>
      </c>
      <c r="H6" s="497" t="s">
        <v>1302</v>
      </c>
    </row>
    <row r="7" spans="2:8" x14ac:dyDescent="0.15">
      <c r="G7" s="372" t="s">
        <v>956</v>
      </c>
    </row>
    <row r="8" spans="2:8" x14ac:dyDescent="0.15">
      <c r="B8" s="381">
        <v>1</v>
      </c>
      <c r="D8" s="496"/>
    </row>
    <row r="9" spans="2:8" x14ac:dyDescent="0.15">
      <c r="B9" s="381">
        <v>2</v>
      </c>
    </row>
    <row r="10" spans="2:8" x14ac:dyDescent="0.15">
      <c r="B10" s="381">
        <v>3</v>
      </c>
    </row>
    <row r="11" spans="2:8" x14ac:dyDescent="0.15">
      <c r="B11" s="381">
        <v>4</v>
      </c>
    </row>
    <row r="12" spans="2:8" x14ac:dyDescent="0.15">
      <c r="B12" s="381">
        <v>5</v>
      </c>
    </row>
    <row r="13" spans="2:8" x14ac:dyDescent="0.15">
      <c r="B13" s="381">
        <v>6</v>
      </c>
    </row>
    <row r="14" spans="2:8" x14ac:dyDescent="0.15">
      <c r="B14" s="381">
        <v>7</v>
      </c>
    </row>
    <row r="15" spans="2:8" x14ac:dyDescent="0.15">
      <c r="B15" s="381">
        <v>8</v>
      </c>
    </row>
    <row r="16" spans="2:8" x14ac:dyDescent="0.15">
      <c r="B16" s="381">
        <v>9</v>
      </c>
    </row>
    <row r="17" spans="2:2" x14ac:dyDescent="0.15">
      <c r="B17" s="381">
        <v>10</v>
      </c>
    </row>
    <row r="18" spans="2:2" x14ac:dyDescent="0.15">
      <c r="B18" s="381">
        <v>11</v>
      </c>
    </row>
    <row r="19" spans="2:2" x14ac:dyDescent="0.15">
      <c r="B19" s="381">
        <v>12</v>
      </c>
    </row>
    <row r="20" spans="2:2" x14ac:dyDescent="0.15">
      <c r="B20" s="381">
        <v>13</v>
      </c>
    </row>
    <row r="21" spans="2:2" x14ac:dyDescent="0.15">
      <c r="B21" s="381">
        <v>14</v>
      </c>
    </row>
    <row r="22" spans="2:2" x14ac:dyDescent="0.15">
      <c r="B22" s="381">
        <v>15</v>
      </c>
    </row>
    <row r="23" spans="2:2" x14ac:dyDescent="0.15">
      <c r="B23" s="381">
        <v>16</v>
      </c>
    </row>
    <row r="24" spans="2:2" x14ac:dyDescent="0.15">
      <c r="B24" s="381">
        <v>17</v>
      </c>
    </row>
    <row r="25" spans="2:2" x14ac:dyDescent="0.15">
      <c r="B25" s="381">
        <v>18</v>
      </c>
    </row>
    <row r="26" spans="2:2" x14ac:dyDescent="0.15">
      <c r="B26" s="381">
        <v>19</v>
      </c>
    </row>
    <row r="27" spans="2:2" x14ac:dyDescent="0.15">
      <c r="B27" s="381">
        <v>20</v>
      </c>
    </row>
    <row r="28" spans="2:2" x14ac:dyDescent="0.15">
      <c r="B28" s="381">
        <v>21</v>
      </c>
    </row>
    <row r="29" spans="2:2" x14ac:dyDescent="0.15">
      <c r="B29" s="381">
        <v>22</v>
      </c>
    </row>
    <row r="30" spans="2:2" x14ac:dyDescent="0.15">
      <c r="B30" s="381">
        <v>23</v>
      </c>
    </row>
    <row r="31" spans="2:2" x14ac:dyDescent="0.15">
      <c r="B31" s="381">
        <v>24</v>
      </c>
    </row>
    <row r="32" spans="2:2" x14ac:dyDescent="0.15">
      <c r="B32" s="381">
        <v>25</v>
      </c>
    </row>
    <row r="33" spans="2:2" x14ac:dyDescent="0.15">
      <c r="B33" s="381">
        <v>26</v>
      </c>
    </row>
    <row r="34" spans="2:2" x14ac:dyDescent="0.15">
      <c r="B34" s="381">
        <v>27</v>
      </c>
    </row>
    <row r="35" spans="2:2" x14ac:dyDescent="0.15">
      <c r="B35" s="381">
        <v>28</v>
      </c>
    </row>
    <row r="36" spans="2:2" x14ac:dyDescent="0.15">
      <c r="B36" s="381">
        <v>29</v>
      </c>
    </row>
    <row r="37" spans="2:2" x14ac:dyDescent="0.15">
      <c r="B37" s="381">
        <v>30</v>
      </c>
    </row>
    <row r="38" spans="2:2" x14ac:dyDescent="0.15">
      <c r="B38" s="381">
        <v>31</v>
      </c>
    </row>
    <row r="39" spans="2:2" x14ac:dyDescent="0.15">
      <c r="B39" s="381">
        <v>32</v>
      </c>
    </row>
    <row r="40" spans="2:2" x14ac:dyDescent="0.15">
      <c r="B40" s="381">
        <v>33</v>
      </c>
    </row>
    <row r="41" spans="2:2" x14ac:dyDescent="0.15">
      <c r="B41" s="381">
        <v>34</v>
      </c>
    </row>
    <row r="42" spans="2:2" x14ac:dyDescent="0.15">
      <c r="B42" s="381">
        <v>35</v>
      </c>
    </row>
    <row r="43" spans="2:2" x14ac:dyDescent="0.15">
      <c r="B43" s="381">
        <v>36</v>
      </c>
    </row>
    <row r="44" spans="2:2" x14ac:dyDescent="0.15">
      <c r="B44" s="381">
        <v>37</v>
      </c>
    </row>
    <row r="45" spans="2:2" x14ac:dyDescent="0.15">
      <c r="B45" s="381">
        <v>38</v>
      </c>
    </row>
    <row r="46" spans="2:2" x14ac:dyDescent="0.15">
      <c r="B46" s="381">
        <v>39</v>
      </c>
    </row>
    <row r="47" spans="2:2" x14ac:dyDescent="0.15">
      <c r="B47" s="381">
        <v>40</v>
      </c>
    </row>
    <row r="48" spans="2:2" x14ac:dyDescent="0.15">
      <c r="B48" s="381">
        <v>41</v>
      </c>
    </row>
    <row r="49" spans="2:2" x14ac:dyDescent="0.15">
      <c r="B49" s="381">
        <v>42</v>
      </c>
    </row>
    <row r="50" spans="2:2" x14ac:dyDescent="0.15">
      <c r="B50" s="381">
        <v>43</v>
      </c>
    </row>
    <row r="51" spans="2:2" x14ac:dyDescent="0.15">
      <c r="B51" s="381">
        <v>44</v>
      </c>
    </row>
    <row r="52" spans="2:2" x14ac:dyDescent="0.15">
      <c r="B52" s="381">
        <v>45</v>
      </c>
    </row>
    <row r="53" spans="2:2" x14ac:dyDescent="0.15">
      <c r="B53" s="381">
        <v>46</v>
      </c>
    </row>
    <row r="54" spans="2:2" x14ac:dyDescent="0.15">
      <c r="B54" s="381">
        <v>47</v>
      </c>
    </row>
    <row r="55" spans="2:2" x14ac:dyDescent="0.15">
      <c r="B55" s="381">
        <v>48</v>
      </c>
    </row>
    <row r="56" spans="2:2" x14ac:dyDescent="0.15">
      <c r="B56" s="381">
        <v>49</v>
      </c>
    </row>
    <row r="57" spans="2:2" x14ac:dyDescent="0.15">
      <c r="B57" s="381">
        <v>50</v>
      </c>
    </row>
    <row r="58" spans="2:2" x14ac:dyDescent="0.15">
      <c r="B58" s="381">
        <v>51</v>
      </c>
    </row>
    <row r="59" spans="2:2" x14ac:dyDescent="0.15">
      <c r="B59" s="381">
        <v>52</v>
      </c>
    </row>
    <row r="60" spans="2:2" x14ac:dyDescent="0.15">
      <c r="B60" s="381">
        <v>53</v>
      </c>
    </row>
    <row r="61" spans="2:2" x14ac:dyDescent="0.15">
      <c r="B61" s="381">
        <v>54</v>
      </c>
    </row>
    <row r="62" spans="2:2" x14ac:dyDescent="0.15">
      <c r="B62" s="381">
        <v>55</v>
      </c>
    </row>
    <row r="63" spans="2:2" x14ac:dyDescent="0.15">
      <c r="B63" s="381">
        <v>56</v>
      </c>
    </row>
    <row r="64" spans="2:2" x14ac:dyDescent="0.15">
      <c r="B64" s="381">
        <v>57</v>
      </c>
    </row>
    <row r="65" spans="2:2" x14ac:dyDescent="0.15">
      <c r="B65" s="381">
        <v>58</v>
      </c>
    </row>
    <row r="66" spans="2:2" x14ac:dyDescent="0.15">
      <c r="B66" s="381">
        <v>59</v>
      </c>
    </row>
    <row r="67" spans="2:2" x14ac:dyDescent="0.15">
      <c r="B67" s="381">
        <v>60</v>
      </c>
    </row>
    <row r="68" spans="2:2" x14ac:dyDescent="0.15">
      <c r="B68" s="381">
        <v>61</v>
      </c>
    </row>
    <row r="69" spans="2:2" x14ac:dyDescent="0.15">
      <c r="B69" s="381">
        <v>62</v>
      </c>
    </row>
    <row r="70" spans="2:2" x14ac:dyDescent="0.15">
      <c r="B70" s="381">
        <v>63</v>
      </c>
    </row>
    <row r="71" spans="2:2" x14ac:dyDescent="0.15">
      <c r="B71" s="381">
        <v>64</v>
      </c>
    </row>
    <row r="72" spans="2:2" x14ac:dyDescent="0.15">
      <c r="B72" s="381">
        <v>65</v>
      </c>
    </row>
    <row r="73" spans="2:2" x14ac:dyDescent="0.15">
      <c r="B73" s="381">
        <v>66</v>
      </c>
    </row>
    <row r="74" spans="2:2" x14ac:dyDescent="0.15">
      <c r="B74" s="381">
        <v>67</v>
      </c>
    </row>
    <row r="75" spans="2:2" x14ac:dyDescent="0.15">
      <c r="B75" s="381">
        <v>68</v>
      </c>
    </row>
    <row r="76" spans="2:2" x14ac:dyDescent="0.15">
      <c r="B76" s="381">
        <v>69</v>
      </c>
    </row>
    <row r="77" spans="2:2" x14ac:dyDescent="0.15">
      <c r="B77" s="381">
        <v>70</v>
      </c>
    </row>
    <row r="78" spans="2:2" x14ac:dyDescent="0.15">
      <c r="B78" s="381">
        <v>71</v>
      </c>
    </row>
    <row r="79" spans="2:2" x14ac:dyDescent="0.15">
      <c r="B79" s="381">
        <v>72</v>
      </c>
    </row>
    <row r="80" spans="2:2" x14ac:dyDescent="0.15">
      <c r="B80" s="381">
        <v>73</v>
      </c>
    </row>
    <row r="81" spans="2:2" x14ac:dyDescent="0.15">
      <c r="B81" s="381">
        <v>74</v>
      </c>
    </row>
    <row r="82" spans="2:2" x14ac:dyDescent="0.15">
      <c r="B82" s="381">
        <v>75</v>
      </c>
    </row>
    <row r="83" spans="2:2" x14ac:dyDescent="0.15">
      <c r="B83" s="381">
        <v>76</v>
      </c>
    </row>
    <row r="84" spans="2:2" x14ac:dyDescent="0.15">
      <c r="B84" s="381">
        <v>77</v>
      </c>
    </row>
    <row r="85" spans="2:2" x14ac:dyDescent="0.15">
      <c r="B85" s="381">
        <v>78</v>
      </c>
    </row>
    <row r="86" spans="2:2" x14ac:dyDescent="0.15">
      <c r="B86" s="381">
        <v>79</v>
      </c>
    </row>
    <row r="87" spans="2:2" x14ac:dyDescent="0.15">
      <c r="B87" s="381">
        <v>80</v>
      </c>
    </row>
    <row r="88" spans="2:2" x14ac:dyDescent="0.15">
      <c r="B88" s="381">
        <v>81</v>
      </c>
    </row>
    <row r="89" spans="2:2" x14ac:dyDescent="0.15">
      <c r="B89" s="381">
        <v>82</v>
      </c>
    </row>
    <row r="90" spans="2:2" x14ac:dyDescent="0.15">
      <c r="B90" s="381">
        <v>83</v>
      </c>
    </row>
    <row r="91" spans="2:2" x14ac:dyDescent="0.15">
      <c r="B91" s="381">
        <v>84</v>
      </c>
    </row>
    <row r="92" spans="2:2" x14ac:dyDescent="0.15">
      <c r="B92" s="381">
        <v>85</v>
      </c>
    </row>
    <row r="93" spans="2:2" x14ac:dyDescent="0.15">
      <c r="B93" s="381">
        <v>86</v>
      </c>
    </row>
    <row r="94" spans="2:2" x14ac:dyDescent="0.15">
      <c r="B94" s="381">
        <v>87</v>
      </c>
    </row>
    <row r="95" spans="2:2" x14ac:dyDescent="0.15">
      <c r="B95" s="381">
        <v>88</v>
      </c>
    </row>
    <row r="96" spans="2:2" x14ac:dyDescent="0.15">
      <c r="B96" s="381">
        <v>89</v>
      </c>
    </row>
    <row r="97" spans="2:2" x14ac:dyDescent="0.15">
      <c r="B97" s="381">
        <v>90</v>
      </c>
    </row>
    <row r="98" spans="2:2" x14ac:dyDescent="0.15">
      <c r="B98" s="381">
        <v>91</v>
      </c>
    </row>
    <row r="99" spans="2:2" x14ac:dyDescent="0.15">
      <c r="B99" s="381">
        <v>92</v>
      </c>
    </row>
    <row r="100" spans="2:2" x14ac:dyDescent="0.15">
      <c r="B100" s="381">
        <v>93</v>
      </c>
    </row>
    <row r="101" spans="2:2" x14ac:dyDescent="0.15">
      <c r="B101" s="381">
        <v>94</v>
      </c>
    </row>
    <row r="102" spans="2:2" x14ac:dyDescent="0.15">
      <c r="B102" s="381">
        <v>95</v>
      </c>
    </row>
    <row r="103" spans="2:2" x14ac:dyDescent="0.15">
      <c r="B103" s="381">
        <v>96</v>
      </c>
    </row>
    <row r="104" spans="2:2" x14ac:dyDescent="0.15">
      <c r="B104" s="381">
        <v>97</v>
      </c>
    </row>
    <row r="105" spans="2:2" x14ac:dyDescent="0.15">
      <c r="B105" s="381">
        <v>98</v>
      </c>
    </row>
    <row r="106" spans="2:2" x14ac:dyDescent="0.15">
      <c r="B106" s="381">
        <v>99</v>
      </c>
    </row>
    <row r="107" spans="2:2" x14ac:dyDescent="0.15">
      <c r="B107" s="381">
        <v>100</v>
      </c>
    </row>
    <row r="108" spans="2:2" x14ac:dyDescent="0.15">
      <c r="B108" s="381">
        <v>101</v>
      </c>
    </row>
    <row r="109" spans="2:2" x14ac:dyDescent="0.15">
      <c r="B109" s="381">
        <v>102</v>
      </c>
    </row>
    <row r="110" spans="2:2" x14ac:dyDescent="0.15">
      <c r="B110" s="381">
        <v>103</v>
      </c>
    </row>
    <row r="111" spans="2:2" x14ac:dyDescent="0.15">
      <c r="B111" s="381">
        <v>104</v>
      </c>
    </row>
    <row r="112" spans="2:2" x14ac:dyDescent="0.15">
      <c r="B112" s="381">
        <v>105</v>
      </c>
    </row>
    <row r="113" spans="2:2" x14ac:dyDescent="0.15">
      <c r="B113" s="381">
        <v>106</v>
      </c>
    </row>
    <row r="114" spans="2:2" x14ac:dyDescent="0.15">
      <c r="B114" s="381">
        <v>107</v>
      </c>
    </row>
    <row r="115" spans="2:2" x14ac:dyDescent="0.15">
      <c r="B115" s="381">
        <v>108</v>
      </c>
    </row>
    <row r="116" spans="2:2" x14ac:dyDescent="0.15">
      <c r="B116" s="381">
        <v>109</v>
      </c>
    </row>
    <row r="117" spans="2:2" x14ac:dyDescent="0.15">
      <c r="B117" s="381">
        <v>110</v>
      </c>
    </row>
    <row r="118" spans="2:2" x14ac:dyDescent="0.15">
      <c r="B118" s="381">
        <v>111</v>
      </c>
    </row>
    <row r="119" spans="2:2" x14ac:dyDescent="0.15">
      <c r="B119" s="381">
        <v>112</v>
      </c>
    </row>
    <row r="120" spans="2:2" x14ac:dyDescent="0.15">
      <c r="B120" s="381">
        <v>113</v>
      </c>
    </row>
    <row r="121" spans="2:2" x14ac:dyDescent="0.15">
      <c r="B121" s="381">
        <v>114</v>
      </c>
    </row>
    <row r="122" spans="2:2" x14ac:dyDescent="0.15">
      <c r="B122" s="381">
        <v>115</v>
      </c>
    </row>
    <row r="123" spans="2:2" x14ac:dyDescent="0.15">
      <c r="B123" s="381">
        <v>116</v>
      </c>
    </row>
    <row r="124" spans="2:2" x14ac:dyDescent="0.15">
      <c r="B124" s="381">
        <v>117</v>
      </c>
    </row>
    <row r="125" spans="2:2" x14ac:dyDescent="0.15">
      <c r="B125" s="381">
        <v>118</v>
      </c>
    </row>
    <row r="126" spans="2:2" x14ac:dyDescent="0.15">
      <c r="B126" s="381">
        <v>119</v>
      </c>
    </row>
    <row r="127" spans="2:2" x14ac:dyDescent="0.15">
      <c r="B127" s="381">
        <v>120</v>
      </c>
    </row>
    <row r="128" spans="2:2" x14ac:dyDescent="0.15">
      <c r="B128" s="381">
        <v>121</v>
      </c>
    </row>
    <row r="129" spans="2:2" x14ac:dyDescent="0.15">
      <c r="B129" s="381">
        <v>122</v>
      </c>
    </row>
    <row r="130" spans="2:2" x14ac:dyDescent="0.15">
      <c r="B130" s="381">
        <v>123</v>
      </c>
    </row>
    <row r="131" spans="2:2" x14ac:dyDescent="0.15">
      <c r="B131" s="381">
        <v>124</v>
      </c>
    </row>
    <row r="132" spans="2:2" x14ac:dyDescent="0.15">
      <c r="B132" s="381">
        <v>125</v>
      </c>
    </row>
    <row r="133" spans="2:2" x14ac:dyDescent="0.15">
      <c r="B133" s="381">
        <v>126</v>
      </c>
    </row>
    <row r="134" spans="2:2" x14ac:dyDescent="0.15">
      <c r="B134" s="381">
        <v>127</v>
      </c>
    </row>
    <row r="135" spans="2:2" x14ac:dyDescent="0.15">
      <c r="B135" s="381">
        <v>128</v>
      </c>
    </row>
    <row r="136" spans="2:2" x14ac:dyDescent="0.15">
      <c r="B136" s="381">
        <v>129</v>
      </c>
    </row>
    <row r="137" spans="2:2" x14ac:dyDescent="0.15">
      <c r="B137" s="381">
        <v>130</v>
      </c>
    </row>
    <row r="138" spans="2:2" x14ac:dyDescent="0.15">
      <c r="B138" s="381">
        <v>131</v>
      </c>
    </row>
    <row r="139" spans="2:2" x14ac:dyDescent="0.15">
      <c r="B139" s="381">
        <v>132</v>
      </c>
    </row>
    <row r="140" spans="2:2" x14ac:dyDescent="0.15">
      <c r="B140" s="381">
        <v>133</v>
      </c>
    </row>
    <row r="141" spans="2:2" x14ac:dyDescent="0.15">
      <c r="B141" s="381">
        <v>134</v>
      </c>
    </row>
    <row r="142" spans="2:2" x14ac:dyDescent="0.15">
      <c r="B142" s="381">
        <v>135</v>
      </c>
    </row>
    <row r="143" spans="2:2" x14ac:dyDescent="0.15">
      <c r="B143" s="381">
        <v>136</v>
      </c>
    </row>
    <row r="144" spans="2:2" x14ac:dyDescent="0.15">
      <c r="B144" s="381">
        <v>137</v>
      </c>
    </row>
    <row r="145" spans="2:2" x14ac:dyDescent="0.15">
      <c r="B145" s="381">
        <v>138</v>
      </c>
    </row>
    <row r="146" spans="2:2" x14ac:dyDescent="0.15">
      <c r="B146" s="381">
        <v>139</v>
      </c>
    </row>
    <row r="147" spans="2:2" x14ac:dyDescent="0.15">
      <c r="B147" s="381">
        <v>140</v>
      </c>
    </row>
    <row r="148" spans="2:2" x14ac:dyDescent="0.15">
      <c r="B148" s="381">
        <v>141</v>
      </c>
    </row>
    <row r="149" spans="2:2" x14ac:dyDescent="0.15">
      <c r="B149" s="381">
        <v>142</v>
      </c>
    </row>
    <row r="150" spans="2:2" x14ac:dyDescent="0.15">
      <c r="B150" s="381">
        <v>143</v>
      </c>
    </row>
    <row r="151" spans="2:2" x14ac:dyDescent="0.15">
      <c r="B151" s="381">
        <v>144</v>
      </c>
    </row>
    <row r="152" spans="2:2" x14ac:dyDescent="0.15">
      <c r="B152" s="381">
        <v>145</v>
      </c>
    </row>
    <row r="153" spans="2:2" x14ac:dyDescent="0.15">
      <c r="B153" s="381">
        <v>146</v>
      </c>
    </row>
    <row r="154" spans="2:2" x14ac:dyDescent="0.15">
      <c r="B154" s="381">
        <v>147</v>
      </c>
    </row>
    <row r="155" spans="2:2" x14ac:dyDescent="0.15">
      <c r="B155" s="381">
        <v>148</v>
      </c>
    </row>
    <row r="156" spans="2:2" x14ac:dyDescent="0.15">
      <c r="B156" s="381">
        <v>149</v>
      </c>
    </row>
    <row r="157" spans="2:2" x14ac:dyDescent="0.15">
      <c r="B157" s="381">
        <v>150</v>
      </c>
    </row>
    <row r="158" spans="2:2" x14ac:dyDescent="0.15">
      <c r="B158" s="381">
        <v>151</v>
      </c>
    </row>
    <row r="159" spans="2:2" x14ac:dyDescent="0.15">
      <c r="B159" s="381">
        <v>152</v>
      </c>
    </row>
    <row r="160" spans="2:2" x14ac:dyDescent="0.15">
      <c r="B160" s="381">
        <v>153</v>
      </c>
    </row>
    <row r="161" spans="2:2" x14ac:dyDescent="0.15">
      <c r="B161" s="381">
        <v>154</v>
      </c>
    </row>
    <row r="162" spans="2:2" x14ac:dyDescent="0.15">
      <c r="B162" s="381">
        <v>155</v>
      </c>
    </row>
    <row r="163" spans="2:2" x14ac:dyDescent="0.15">
      <c r="B163" s="381">
        <v>156</v>
      </c>
    </row>
    <row r="164" spans="2:2" x14ac:dyDescent="0.15">
      <c r="B164" s="381">
        <v>157</v>
      </c>
    </row>
    <row r="165" spans="2:2" x14ac:dyDescent="0.15">
      <c r="B165" s="381">
        <v>158</v>
      </c>
    </row>
    <row r="166" spans="2:2" x14ac:dyDescent="0.15">
      <c r="B166" s="381">
        <v>159</v>
      </c>
    </row>
    <row r="167" spans="2:2" x14ac:dyDescent="0.15">
      <c r="B167" s="381">
        <v>160</v>
      </c>
    </row>
    <row r="168" spans="2:2" x14ac:dyDescent="0.15">
      <c r="B168" s="381">
        <v>161</v>
      </c>
    </row>
    <row r="169" spans="2:2" x14ac:dyDescent="0.15">
      <c r="B169" s="381">
        <v>162</v>
      </c>
    </row>
    <row r="170" spans="2:2" x14ac:dyDescent="0.15">
      <c r="B170" s="381">
        <v>163</v>
      </c>
    </row>
    <row r="171" spans="2:2" x14ac:dyDescent="0.15">
      <c r="B171" s="381">
        <v>164</v>
      </c>
    </row>
    <row r="172" spans="2:2" x14ac:dyDescent="0.15">
      <c r="B172" s="381">
        <v>165</v>
      </c>
    </row>
    <row r="173" spans="2:2" x14ac:dyDescent="0.15">
      <c r="B173" s="381">
        <v>166</v>
      </c>
    </row>
    <row r="174" spans="2:2" x14ac:dyDescent="0.15">
      <c r="B174" s="381">
        <v>167</v>
      </c>
    </row>
    <row r="175" spans="2:2" x14ac:dyDescent="0.15">
      <c r="B175" s="381">
        <v>168</v>
      </c>
    </row>
    <row r="176" spans="2:2" x14ac:dyDescent="0.15">
      <c r="B176" s="381">
        <v>169</v>
      </c>
    </row>
    <row r="177" spans="2:2" x14ac:dyDescent="0.15">
      <c r="B177" s="381">
        <v>170</v>
      </c>
    </row>
    <row r="178" spans="2:2" x14ac:dyDescent="0.15">
      <c r="B178" s="381">
        <v>171</v>
      </c>
    </row>
    <row r="179" spans="2:2" x14ac:dyDescent="0.15">
      <c r="B179" s="381">
        <v>172</v>
      </c>
    </row>
    <row r="180" spans="2:2" x14ac:dyDescent="0.15">
      <c r="B180" s="381">
        <v>173</v>
      </c>
    </row>
    <row r="181" spans="2:2" x14ac:dyDescent="0.15">
      <c r="B181" s="381">
        <v>174</v>
      </c>
    </row>
    <row r="182" spans="2:2" x14ac:dyDescent="0.15">
      <c r="B182" s="381">
        <v>175</v>
      </c>
    </row>
    <row r="183" spans="2:2" x14ac:dyDescent="0.15">
      <c r="B183" s="381">
        <v>176</v>
      </c>
    </row>
    <row r="184" spans="2:2" x14ac:dyDescent="0.15">
      <c r="B184" s="381">
        <v>177</v>
      </c>
    </row>
    <row r="185" spans="2:2" x14ac:dyDescent="0.15">
      <c r="B185" s="381">
        <v>178</v>
      </c>
    </row>
    <row r="186" spans="2:2" x14ac:dyDescent="0.15">
      <c r="B186" s="381">
        <v>179</v>
      </c>
    </row>
    <row r="187" spans="2:2" x14ac:dyDescent="0.15">
      <c r="B187" s="381">
        <v>180</v>
      </c>
    </row>
    <row r="188" spans="2:2" x14ac:dyDescent="0.15">
      <c r="B188" s="381">
        <v>181</v>
      </c>
    </row>
    <row r="189" spans="2:2" x14ac:dyDescent="0.15">
      <c r="B189" s="381">
        <v>182</v>
      </c>
    </row>
    <row r="190" spans="2:2" x14ac:dyDescent="0.15">
      <c r="B190" s="381">
        <v>183</v>
      </c>
    </row>
    <row r="191" spans="2:2" x14ac:dyDescent="0.15">
      <c r="B191" s="381">
        <v>184</v>
      </c>
    </row>
    <row r="192" spans="2:2" x14ac:dyDescent="0.15">
      <c r="B192" s="381">
        <v>185</v>
      </c>
    </row>
    <row r="193" spans="2:2" x14ac:dyDescent="0.15">
      <c r="B193" s="381">
        <v>186</v>
      </c>
    </row>
    <row r="194" spans="2:2" x14ac:dyDescent="0.15">
      <c r="B194" s="381">
        <v>187</v>
      </c>
    </row>
    <row r="195" spans="2:2" x14ac:dyDescent="0.15">
      <c r="B195" s="381">
        <v>188</v>
      </c>
    </row>
    <row r="196" spans="2:2" x14ac:dyDescent="0.15">
      <c r="B196" s="381">
        <v>189</v>
      </c>
    </row>
    <row r="197" spans="2:2" x14ac:dyDescent="0.15">
      <c r="B197" s="381">
        <v>190</v>
      </c>
    </row>
    <row r="198" spans="2:2" x14ac:dyDescent="0.15">
      <c r="B198" s="381">
        <v>191</v>
      </c>
    </row>
    <row r="199" spans="2:2" x14ac:dyDescent="0.15">
      <c r="B199" s="381">
        <v>192</v>
      </c>
    </row>
    <row r="200" spans="2:2" x14ac:dyDescent="0.15">
      <c r="B200" s="381">
        <v>193</v>
      </c>
    </row>
    <row r="201" spans="2:2" x14ac:dyDescent="0.15">
      <c r="B201" s="381">
        <v>194</v>
      </c>
    </row>
    <row r="202" spans="2:2" x14ac:dyDescent="0.15">
      <c r="B202" s="381">
        <v>195</v>
      </c>
    </row>
    <row r="203" spans="2:2" x14ac:dyDescent="0.15">
      <c r="B203" s="381">
        <v>196</v>
      </c>
    </row>
    <row r="204" spans="2:2" x14ac:dyDescent="0.15">
      <c r="B204" s="381">
        <v>197</v>
      </c>
    </row>
    <row r="205" spans="2:2" x14ac:dyDescent="0.15">
      <c r="B205" s="381">
        <v>198</v>
      </c>
    </row>
    <row r="206" spans="2:2" x14ac:dyDescent="0.15">
      <c r="B206" s="381">
        <v>199</v>
      </c>
    </row>
    <row r="207" spans="2:2" x14ac:dyDescent="0.15">
      <c r="B207" s="381">
        <v>200</v>
      </c>
    </row>
    <row r="208" spans="2:2" x14ac:dyDescent="0.15">
      <c r="B208" s="381">
        <v>201</v>
      </c>
    </row>
    <row r="209" spans="2:2" x14ac:dyDescent="0.15">
      <c r="B209" s="381">
        <v>202</v>
      </c>
    </row>
    <row r="210" spans="2:2" x14ac:dyDescent="0.15">
      <c r="B210" s="381">
        <v>203</v>
      </c>
    </row>
    <row r="211" spans="2:2" x14ac:dyDescent="0.15">
      <c r="B211" s="381">
        <v>204</v>
      </c>
    </row>
    <row r="212" spans="2:2" x14ac:dyDescent="0.15">
      <c r="B212" s="381">
        <v>205</v>
      </c>
    </row>
    <row r="213" spans="2:2" x14ac:dyDescent="0.15">
      <c r="B213" s="381">
        <v>206</v>
      </c>
    </row>
    <row r="214" spans="2:2" x14ac:dyDescent="0.15">
      <c r="B214" s="381">
        <v>207</v>
      </c>
    </row>
    <row r="215" spans="2:2" x14ac:dyDescent="0.15">
      <c r="B215" s="381">
        <v>208</v>
      </c>
    </row>
    <row r="216" spans="2:2" x14ac:dyDescent="0.15">
      <c r="B216" s="381">
        <v>209</v>
      </c>
    </row>
    <row r="217" spans="2:2" x14ac:dyDescent="0.15">
      <c r="B217" s="381">
        <v>210</v>
      </c>
    </row>
    <row r="218" spans="2:2" x14ac:dyDescent="0.15">
      <c r="B218" s="381">
        <v>211</v>
      </c>
    </row>
    <row r="219" spans="2:2" x14ac:dyDescent="0.15">
      <c r="B219" s="381">
        <v>212</v>
      </c>
    </row>
    <row r="220" spans="2:2" x14ac:dyDescent="0.15">
      <c r="B220" s="381">
        <v>213</v>
      </c>
    </row>
    <row r="221" spans="2:2" x14ac:dyDescent="0.15">
      <c r="B221" s="381">
        <v>214</v>
      </c>
    </row>
    <row r="222" spans="2:2" x14ac:dyDescent="0.15">
      <c r="B222" s="381">
        <v>215</v>
      </c>
    </row>
    <row r="223" spans="2:2" x14ac:dyDescent="0.15">
      <c r="B223" s="381">
        <v>216</v>
      </c>
    </row>
    <row r="224" spans="2:2" x14ac:dyDescent="0.15">
      <c r="B224" s="381">
        <v>217</v>
      </c>
    </row>
    <row r="225" spans="2:2" x14ac:dyDescent="0.15">
      <c r="B225" s="381">
        <v>218</v>
      </c>
    </row>
    <row r="226" spans="2:2" x14ac:dyDescent="0.15">
      <c r="B226" s="381">
        <v>219</v>
      </c>
    </row>
    <row r="227" spans="2:2" x14ac:dyDescent="0.15">
      <c r="B227" s="381">
        <v>220</v>
      </c>
    </row>
    <row r="228" spans="2:2" x14ac:dyDescent="0.15">
      <c r="B228" s="381">
        <v>221</v>
      </c>
    </row>
    <row r="229" spans="2:2" x14ac:dyDescent="0.15">
      <c r="B229" s="381">
        <v>222</v>
      </c>
    </row>
    <row r="230" spans="2:2" x14ac:dyDescent="0.15">
      <c r="B230" s="381">
        <v>223</v>
      </c>
    </row>
    <row r="231" spans="2:2" x14ac:dyDescent="0.15">
      <c r="B231" s="381">
        <v>224</v>
      </c>
    </row>
    <row r="232" spans="2:2" x14ac:dyDescent="0.15">
      <c r="B232" s="381">
        <v>225</v>
      </c>
    </row>
    <row r="233" spans="2:2" x14ac:dyDescent="0.15">
      <c r="B233" s="381">
        <v>226</v>
      </c>
    </row>
    <row r="234" spans="2:2" x14ac:dyDescent="0.15">
      <c r="B234" s="381">
        <v>227</v>
      </c>
    </row>
    <row r="235" spans="2:2" x14ac:dyDescent="0.15">
      <c r="B235" s="381">
        <v>228</v>
      </c>
    </row>
    <row r="236" spans="2:2" x14ac:dyDescent="0.15">
      <c r="B236" s="381">
        <v>229</v>
      </c>
    </row>
    <row r="237" spans="2:2" x14ac:dyDescent="0.15">
      <c r="B237" s="381">
        <v>230</v>
      </c>
    </row>
    <row r="238" spans="2:2" x14ac:dyDescent="0.15">
      <c r="B238" s="381">
        <v>231</v>
      </c>
    </row>
    <row r="239" spans="2:2" x14ac:dyDescent="0.15">
      <c r="B239" s="381">
        <v>232</v>
      </c>
    </row>
    <row r="240" spans="2:2" x14ac:dyDescent="0.15">
      <c r="B240" s="381">
        <v>233</v>
      </c>
    </row>
    <row r="241" spans="2:2" x14ac:dyDescent="0.15">
      <c r="B241" s="381">
        <v>234</v>
      </c>
    </row>
    <row r="242" spans="2:2" x14ac:dyDescent="0.15">
      <c r="B242" s="381">
        <v>235</v>
      </c>
    </row>
    <row r="243" spans="2:2" x14ac:dyDescent="0.15">
      <c r="B243" s="381">
        <v>236</v>
      </c>
    </row>
    <row r="244" spans="2:2" x14ac:dyDescent="0.15">
      <c r="B244" s="381">
        <v>237</v>
      </c>
    </row>
    <row r="245" spans="2:2" x14ac:dyDescent="0.15">
      <c r="B245" s="381">
        <v>238</v>
      </c>
    </row>
    <row r="246" spans="2:2" x14ac:dyDescent="0.15">
      <c r="B246" s="381">
        <v>239</v>
      </c>
    </row>
    <row r="247" spans="2:2" x14ac:dyDescent="0.15">
      <c r="B247" s="381">
        <v>240</v>
      </c>
    </row>
    <row r="248" spans="2:2" x14ac:dyDescent="0.15">
      <c r="B248" s="381">
        <v>241</v>
      </c>
    </row>
    <row r="249" spans="2:2" x14ac:dyDescent="0.15">
      <c r="B249" s="381">
        <v>242</v>
      </c>
    </row>
    <row r="250" spans="2:2" x14ac:dyDescent="0.15">
      <c r="B250" s="381">
        <v>243</v>
      </c>
    </row>
    <row r="251" spans="2:2" x14ac:dyDescent="0.15">
      <c r="B251" s="381">
        <v>244</v>
      </c>
    </row>
    <row r="252" spans="2:2" x14ac:dyDescent="0.15">
      <c r="B252" s="381">
        <v>245</v>
      </c>
    </row>
    <row r="253" spans="2:2" x14ac:dyDescent="0.15">
      <c r="B253" s="381">
        <v>246</v>
      </c>
    </row>
    <row r="254" spans="2:2" x14ac:dyDescent="0.15">
      <c r="B254" s="381">
        <v>247</v>
      </c>
    </row>
    <row r="255" spans="2:2" x14ac:dyDescent="0.15">
      <c r="B255" s="381">
        <v>248</v>
      </c>
    </row>
    <row r="256" spans="2:2" x14ac:dyDescent="0.15">
      <c r="B256" s="381">
        <v>249</v>
      </c>
    </row>
    <row r="257" spans="2:2" x14ac:dyDescent="0.15">
      <c r="B257" s="381">
        <v>250</v>
      </c>
    </row>
    <row r="258" spans="2:2" x14ac:dyDescent="0.15">
      <c r="B258" s="381">
        <v>251</v>
      </c>
    </row>
    <row r="259" spans="2:2" x14ac:dyDescent="0.15">
      <c r="B259" s="381">
        <v>252</v>
      </c>
    </row>
    <row r="260" spans="2:2" x14ac:dyDescent="0.15">
      <c r="B260" s="381">
        <v>253</v>
      </c>
    </row>
    <row r="261" spans="2:2" x14ac:dyDescent="0.15">
      <c r="B261" s="381">
        <v>254</v>
      </c>
    </row>
    <row r="262" spans="2:2" x14ac:dyDescent="0.15">
      <c r="B262" s="381">
        <v>255</v>
      </c>
    </row>
    <row r="263" spans="2:2" x14ac:dyDescent="0.15">
      <c r="B263" s="381">
        <v>256</v>
      </c>
    </row>
    <row r="264" spans="2:2" x14ac:dyDescent="0.15">
      <c r="B264" s="381">
        <v>257</v>
      </c>
    </row>
    <row r="265" spans="2:2" x14ac:dyDescent="0.15">
      <c r="B265" s="381">
        <v>258</v>
      </c>
    </row>
    <row r="266" spans="2:2" x14ac:dyDescent="0.15">
      <c r="B266" s="381">
        <v>259</v>
      </c>
    </row>
    <row r="267" spans="2:2" x14ac:dyDescent="0.15">
      <c r="B267" s="381">
        <v>260</v>
      </c>
    </row>
    <row r="268" spans="2:2" x14ac:dyDescent="0.15">
      <c r="B268" s="381">
        <v>261</v>
      </c>
    </row>
    <row r="269" spans="2:2" x14ac:dyDescent="0.15">
      <c r="B269" s="381">
        <v>262</v>
      </c>
    </row>
    <row r="270" spans="2:2" x14ac:dyDescent="0.15">
      <c r="B270" s="381">
        <v>263</v>
      </c>
    </row>
    <row r="271" spans="2:2" x14ac:dyDescent="0.15">
      <c r="B271" s="381">
        <v>264</v>
      </c>
    </row>
    <row r="272" spans="2:2" x14ac:dyDescent="0.15">
      <c r="B272" s="381">
        <v>265</v>
      </c>
    </row>
    <row r="273" spans="2:2" x14ac:dyDescent="0.15">
      <c r="B273" s="381">
        <v>266</v>
      </c>
    </row>
    <row r="274" spans="2:2" x14ac:dyDescent="0.15">
      <c r="B274" s="381">
        <v>267</v>
      </c>
    </row>
    <row r="275" spans="2:2" x14ac:dyDescent="0.15">
      <c r="B275" s="381">
        <v>268</v>
      </c>
    </row>
    <row r="276" spans="2:2" x14ac:dyDescent="0.15">
      <c r="B276" s="381">
        <v>269</v>
      </c>
    </row>
    <row r="277" spans="2:2" x14ac:dyDescent="0.15">
      <c r="B277" s="381">
        <v>270</v>
      </c>
    </row>
    <row r="278" spans="2:2" x14ac:dyDescent="0.15">
      <c r="B278" s="381">
        <v>271</v>
      </c>
    </row>
    <row r="279" spans="2:2" x14ac:dyDescent="0.15">
      <c r="B279" s="381">
        <v>272</v>
      </c>
    </row>
    <row r="280" spans="2:2" x14ac:dyDescent="0.15">
      <c r="B280" s="381">
        <v>273</v>
      </c>
    </row>
    <row r="281" spans="2:2" x14ac:dyDescent="0.15">
      <c r="B281" s="381">
        <v>274</v>
      </c>
    </row>
    <row r="282" spans="2:2" x14ac:dyDescent="0.15">
      <c r="B282" s="381">
        <v>275</v>
      </c>
    </row>
    <row r="283" spans="2:2" x14ac:dyDescent="0.15">
      <c r="B283" s="381">
        <v>276</v>
      </c>
    </row>
    <row r="284" spans="2:2" x14ac:dyDescent="0.15">
      <c r="B284" s="381">
        <v>277</v>
      </c>
    </row>
    <row r="285" spans="2:2" x14ac:dyDescent="0.15">
      <c r="B285" s="381">
        <v>278</v>
      </c>
    </row>
    <row r="286" spans="2:2" x14ac:dyDescent="0.15">
      <c r="B286" s="381">
        <v>279</v>
      </c>
    </row>
    <row r="287" spans="2:2" x14ac:dyDescent="0.15">
      <c r="B287" s="381">
        <v>280</v>
      </c>
    </row>
    <row r="288" spans="2:2" x14ac:dyDescent="0.15">
      <c r="B288" s="381">
        <v>281</v>
      </c>
    </row>
    <row r="289" spans="2:2" x14ac:dyDescent="0.15">
      <c r="B289" s="381">
        <v>282</v>
      </c>
    </row>
    <row r="290" spans="2:2" x14ac:dyDescent="0.15">
      <c r="B290" s="381">
        <v>283</v>
      </c>
    </row>
    <row r="291" spans="2:2" x14ac:dyDescent="0.15">
      <c r="B291" s="381">
        <v>284</v>
      </c>
    </row>
    <row r="292" spans="2:2" x14ac:dyDescent="0.15">
      <c r="B292" s="381">
        <v>285</v>
      </c>
    </row>
    <row r="293" spans="2:2" x14ac:dyDescent="0.15">
      <c r="B293" s="381">
        <v>286</v>
      </c>
    </row>
    <row r="294" spans="2:2" x14ac:dyDescent="0.15">
      <c r="B294" s="381">
        <v>287</v>
      </c>
    </row>
    <row r="295" spans="2:2" x14ac:dyDescent="0.15">
      <c r="B295" s="381">
        <v>288</v>
      </c>
    </row>
    <row r="296" spans="2:2" x14ac:dyDescent="0.15">
      <c r="B296" s="381">
        <v>289</v>
      </c>
    </row>
    <row r="297" spans="2:2" x14ac:dyDescent="0.15">
      <c r="B297" s="381">
        <v>290</v>
      </c>
    </row>
    <row r="298" spans="2:2" x14ac:dyDescent="0.15">
      <c r="B298" s="381">
        <v>291</v>
      </c>
    </row>
    <row r="299" spans="2:2" x14ac:dyDescent="0.15">
      <c r="B299" s="381">
        <v>292</v>
      </c>
    </row>
    <row r="300" spans="2:2" x14ac:dyDescent="0.15">
      <c r="B300" s="381">
        <v>293</v>
      </c>
    </row>
    <row r="301" spans="2:2" x14ac:dyDescent="0.15">
      <c r="B301" s="381">
        <v>294</v>
      </c>
    </row>
    <row r="302" spans="2:2" x14ac:dyDescent="0.15">
      <c r="B302" s="381">
        <v>295</v>
      </c>
    </row>
    <row r="303" spans="2:2" x14ac:dyDescent="0.15">
      <c r="B303" s="381">
        <v>296</v>
      </c>
    </row>
    <row r="304" spans="2:2" x14ac:dyDescent="0.15">
      <c r="B304" s="381">
        <v>297</v>
      </c>
    </row>
    <row r="305" spans="2:2" x14ac:dyDescent="0.15">
      <c r="B305" s="381">
        <v>298</v>
      </c>
    </row>
    <row r="306" spans="2:2" x14ac:dyDescent="0.15">
      <c r="B306" s="381">
        <v>299</v>
      </c>
    </row>
    <row r="307" spans="2:2" x14ac:dyDescent="0.15">
      <c r="B307" s="381">
        <v>300</v>
      </c>
    </row>
    <row r="308" spans="2:2" x14ac:dyDescent="0.15">
      <c r="B308" s="381">
        <v>301</v>
      </c>
    </row>
    <row r="309" spans="2:2" x14ac:dyDescent="0.15">
      <c r="B309" s="381">
        <v>302</v>
      </c>
    </row>
    <row r="310" spans="2:2" x14ac:dyDescent="0.15">
      <c r="B310" s="381">
        <v>303</v>
      </c>
    </row>
    <row r="311" spans="2:2" x14ac:dyDescent="0.15">
      <c r="B311" s="381">
        <v>304</v>
      </c>
    </row>
    <row r="312" spans="2:2" x14ac:dyDescent="0.15">
      <c r="B312" s="381">
        <v>305</v>
      </c>
    </row>
    <row r="313" spans="2:2" x14ac:dyDescent="0.15">
      <c r="B313" s="381">
        <v>306</v>
      </c>
    </row>
    <row r="314" spans="2:2" x14ac:dyDescent="0.15">
      <c r="B314" s="381">
        <v>307</v>
      </c>
    </row>
    <row r="315" spans="2:2" x14ac:dyDescent="0.15">
      <c r="B315" s="381">
        <v>308</v>
      </c>
    </row>
    <row r="316" spans="2:2" x14ac:dyDescent="0.15">
      <c r="B316" s="381">
        <v>309</v>
      </c>
    </row>
    <row r="317" spans="2:2" x14ac:dyDescent="0.15">
      <c r="B317" s="381">
        <v>310</v>
      </c>
    </row>
    <row r="318" spans="2:2" x14ac:dyDescent="0.15">
      <c r="B318" s="381">
        <v>311</v>
      </c>
    </row>
    <row r="319" spans="2:2" x14ac:dyDescent="0.15">
      <c r="B319" s="381">
        <v>312</v>
      </c>
    </row>
    <row r="320" spans="2:2" x14ac:dyDescent="0.15">
      <c r="B320" s="381">
        <v>313</v>
      </c>
    </row>
    <row r="321" spans="2:2" x14ac:dyDescent="0.15">
      <c r="B321" s="381">
        <v>314</v>
      </c>
    </row>
    <row r="322" spans="2:2" x14ac:dyDescent="0.15">
      <c r="B322" s="381">
        <v>315</v>
      </c>
    </row>
    <row r="323" spans="2:2" x14ac:dyDescent="0.15">
      <c r="B323" s="381">
        <v>316</v>
      </c>
    </row>
    <row r="324" spans="2:2" x14ac:dyDescent="0.15">
      <c r="B324" s="381">
        <v>317</v>
      </c>
    </row>
    <row r="325" spans="2:2" x14ac:dyDescent="0.15">
      <c r="B325" s="381">
        <v>318</v>
      </c>
    </row>
    <row r="326" spans="2:2" x14ac:dyDescent="0.15">
      <c r="B326" s="381">
        <v>319</v>
      </c>
    </row>
    <row r="327" spans="2:2" x14ac:dyDescent="0.15">
      <c r="B327" s="381">
        <v>320</v>
      </c>
    </row>
    <row r="328" spans="2:2" x14ac:dyDescent="0.15">
      <c r="B328" s="381">
        <v>321</v>
      </c>
    </row>
    <row r="329" spans="2:2" x14ac:dyDescent="0.15">
      <c r="B329" s="381">
        <v>322</v>
      </c>
    </row>
    <row r="330" spans="2:2" x14ac:dyDescent="0.15">
      <c r="B330" s="381">
        <v>323</v>
      </c>
    </row>
    <row r="331" spans="2:2" x14ac:dyDescent="0.15">
      <c r="B331" s="381">
        <v>324</v>
      </c>
    </row>
    <row r="332" spans="2:2" x14ac:dyDescent="0.15">
      <c r="B332" s="381">
        <v>325</v>
      </c>
    </row>
    <row r="333" spans="2:2" x14ac:dyDescent="0.15">
      <c r="B333" s="381">
        <v>326</v>
      </c>
    </row>
    <row r="334" spans="2:2" x14ac:dyDescent="0.15">
      <c r="B334" s="381">
        <v>327</v>
      </c>
    </row>
    <row r="335" spans="2:2" x14ac:dyDescent="0.15">
      <c r="B335" s="381">
        <v>328</v>
      </c>
    </row>
    <row r="336" spans="2:2" x14ac:dyDescent="0.15">
      <c r="B336" s="381">
        <v>329</v>
      </c>
    </row>
    <row r="337" spans="2:2" x14ac:dyDescent="0.15">
      <c r="B337" s="381">
        <v>330</v>
      </c>
    </row>
    <row r="338" spans="2:2" x14ac:dyDescent="0.15">
      <c r="B338" s="381">
        <v>331</v>
      </c>
    </row>
    <row r="339" spans="2:2" x14ac:dyDescent="0.15">
      <c r="B339" s="381">
        <v>332</v>
      </c>
    </row>
    <row r="340" spans="2:2" x14ac:dyDescent="0.15">
      <c r="B340" s="381">
        <v>333</v>
      </c>
    </row>
    <row r="341" spans="2:2" x14ac:dyDescent="0.15">
      <c r="B341" s="381">
        <v>334</v>
      </c>
    </row>
    <row r="342" spans="2:2" x14ac:dyDescent="0.15">
      <c r="B342" s="381">
        <v>335</v>
      </c>
    </row>
    <row r="343" spans="2:2" x14ac:dyDescent="0.15">
      <c r="B343" s="381">
        <v>336</v>
      </c>
    </row>
    <row r="344" spans="2:2" x14ac:dyDescent="0.15">
      <c r="B344" s="381">
        <v>337</v>
      </c>
    </row>
    <row r="345" spans="2:2" x14ac:dyDescent="0.15">
      <c r="B345" s="381">
        <v>338</v>
      </c>
    </row>
    <row r="346" spans="2:2" x14ac:dyDescent="0.15">
      <c r="B346" s="381">
        <v>339</v>
      </c>
    </row>
    <row r="347" spans="2:2" x14ac:dyDescent="0.15">
      <c r="B347" s="381">
        <v>340</v>
      </c>
    </row>
    <row r="348" spans="2:2" x14ac:dyDescent="0.15">
      <c r="B348" s="381">
        <v>341</v>
      </c>
    </row>
    <row r="349" spans="2:2" x14ac:dyDescent="0.15">
      <c r="B349" s="381">
        <v>342</v>
      </c>
    </row>
    <row r="350" spans="2:2" x14ac:dyDescent="0.15">
      <c r="B350" s="381">
        <v>343</v>
      </c>
    </row>
    <row r="351" spans="2:2" x14ac:dyDescent="0.15">
      <c r="B351" s="381">
        <v>344</v>
      </c>
    </row>
    <row r="352" spans="2:2" x14ac:dyDescent="0.15">
      <c r="B352" s="381">
        <v>345</v>
      </c>
    </row>
    <row r="353" spans="2:2" x14ac:dyDescent="0.15">
      <c r="B353" s="381">
        <v>346</v>
      </c>
    </row>
    <row r="354" spans="2:2" x14ac:dyDescent="0.15">
      <c r="B354" s="381">
        <v>347</v>
      </c>
    </row>
    <row r="355" spans="2:2" x14ac:dyDescent="0.15">
      <c r="B355" s="381">
        <v>348</v>
      </c>
    </row>
    <row r="356" spans="2:2" x14ac:dyDescent="0.15">
      <c r="B356" s="381">
        <v>349</v>
      </c>
    </row>
    <row r="357" spans="2:2" x14ac:dyDescent="0.15">
      <c r="B357" s="381">
        <v>350</v>
      </c>
    </row>
    <row r="358" spans="2:2" x14ac:dyDescent="0.15">
      <c r="B358" s="381">
        <v>351</v>
      </c>
    </row>
    <row r="359" spans="2:2" x14ac:dyDescent="0.15">
      <c r="B359" s="381">
        <v>352</v>
      </c>
    </row>
    <row r="360" spans="2:2" x14ac:dyDescent="0.15">
      <c r="B360" s="381">
        <v>353</v>
      </c>
    </row>
    <row r="361" spans="2:2" x14ac:dyDescent="0.15">
      <c r="B361" s="381">
        <v>354</v>
      </c>
    </row>
    <row r="362" spans="2:2" x14ac:dyDescent="0.15">
      <c r="B362" s="381">
        <v>355</v>
      </c>
    </row>
    <row r="363" spans="2:2" x14ac:dyDescent="0.15">
      <c r="B363" s="381">
        <v>356</v>
      </c>
    </row>
    <row r="364" spans="2:2" x14ac:dyDescent="0.15">
      <c r="B364" s="381">
        <v>357</v>
      </c>
    </row>
    <row r="365" spans="2:2" x14ac:dyDescent="0.15">
      <c r="B365" s="381">
        <v>358</v>
      </c>
    </row>
    <row r="366" spans="2:2" x14ac:dyDescent="0.15">
      <c r="B366" s="381">
        <v>359</v>
      </c>
    </row>
    <row r="367" spans="2:2" x14ac:dyDescent="0.15">
      <c r="B367" s="381">
        <v>360</v>
      </c>
    </row>
    <row r="368" spans="2:2" x14ac:dyDescent="0.15">
      <c r="B368" s="381">
        <v>361</v>
      </c>
    </row>
    <row r="369" spans="2:2" x14ac:dyDescent="0.15">
      <c r="B369" s="381">
        <v>362</v>
      </c>
    </row>
    <row r="370" spans="2:2" x14ac:dyDescent="0.15">
      <c r="B370" s="381">
        <v>363</v>
      </c>
    </row>
    <row r="371" spans="2:2" x14ac:dyDescent="0.15">
      <c r="B371" s="381">
        <v>364</v>
      </c>
    </row>
    <row r="372" spans="2:2" x14ac:dyDescent="0.15">
      <c r="B372" s="381">
        <v>365</v>
      </c>
    </row>
    <row r="373" spans="2:2" x14ac:dyDescent="0.15">
      <c r="B373" s="381">
        <v>366</v>
      </c>
    </row>
    <row r="374" spans="2:2" x14ac:dyDescent="0.15">
      <c r="B374" s="381">
        <v>367</v>
      </c>
    </row>
    <row r="375" spans="2:2" x14ac:dyDescent="0.15">
      <c r="B375" s="381">
        <v>368</v>
      </c>
    </row>
    <row r="376" spans="2:2" x14ac:dyDescent="0.15">
      <c r="B376" s="381">
        <v>369</v>
      </c>
    </row>
    <row r="377" spans="2:2" x14ac:dyDescent="0.15">
      <c r="B377" s="381">
        <v>370</v>
      </c>
    </row>
    <row r="378" spans="2:2" x14ac:dyDescent="0.15">
      <c r="B378" s="381">
        <v>371</v>
      </c>
    </row>
    <row r="379" spans="2:2" x14ac:dyDescent="0.15">
      <c r="B379" s="381">
        <v>372</v>
      </c>
    </row>
    <row r="380" spans="2:2" x14ac:dyDescent="0.15">
      <c r="B380" s="381">
        <v>373</v>
      </c>
    </row>
    <row r="381" spans="2:2" x14ac:dyDescent="0.15">
      <c r="B381" s="381">
        <v>374</v>
      </c>
    </row>
    <row r="382" spans="2:2" x14ac:dyDescent="0.15">
      <c r="B382" s="381">
        <v>375</v>
      </c>
    </row>
    <row r="383" spans="2:2" x14ac:dyDescent="0.15">
      <c r="B383" s="381">
        <v>376</v>
      </c>
    </row>
    <row r="384" spans="2:2" x14ac:dyDescent="0.15">
      <c r="B384" s="381">
        <v>377</v>
      </c>
    </row>
    <row r="385" spans="2:2" x14ac:dyDescent="0.15">
      <c r="B385" s="381">
        <v>378</v>
      </c>
    </row>
    <row r="386" spans="2:2" x14ac:dyDescent="0.15">
      <c r="B386" s="381">
        <v>379</v>
      </c>
    </row>
    <row r="387" spans="2:2" x14ac:dyDescent="0.15">
      <c r="B387" s="381">
        <v>380</v>
      </c>
    </row>
    <row r="388" spans="2:2" x14ac:dyDescent="0.15">
      <c r="B388" s="381">
        <v>381</v>
      </c>
    </row>
    <row r="389" spans="2:2" x14ac:dyDescent="0.15">
      <c r="B389" s="381">
        <v>382</v>
      </c>
    </row>
    <row r="390" spans="2:2" x14ac:dyDescent="0.15">
      <c r="B390" s="381">
        <v>383</v>
      </c>
    </row>
    <row r="391" spans="2:2" x14ac:dyDescent="0.15">
      <c r="B391" s="381">
        <v>384</v>
      </c>
    </row>
    <row r="392" spans="2:2" x14ac:dyDescent="0.15">
      <c r="B392" s="381">
        <v>385</v>
      </c>
    </row>
    <row r="393" spans="2:2" x14ac:dyDescent="0.15">
      <c r="B393" s="381">
        <v>386</v>
      </c>
    </row>
    <row r="394" spans="2:2" x14ac:dyDescent="0.15">
      <c r="B394" s="381">
        <v>387</v>
      </c>
    </row>
    <row r="395" spans="2:2" x14ac:dyDescent="0.15">
      <c r="B395" s="381">
        <v>388</v>
      </c>
    </row>
    <row r="396" spans="2:2" x14ac:dyDescent="0.15">
      <c r="B396" s="381">
        <v>389</v>
      </c>
    </row>
    <row r="397" spans="2:2" x14ac:dyDescent="0.15">
      <c r="B397" s="381">
        <v>390</v>
      </c>
    </row>
    <row r="398" spans="2:2" x14ac:dyDescent="0.15">
      <c r="B398" s="381">
        <v>391</v>
      </c>
    </row>
    <row r="399" spans="2:2" x14ac:dyDescent="0.15">
      <c r="B399" s="381">
        <v>392</v>
      </c>
    </row>
    <row r="400" spans="2:2" x14ac:dyDescent="0.15">
      <c r="B400" s="381">
        <v>393</v>
      </c>
    </row>
    <row r="401" spans="2:2" x14ac:dyDescent="0.15">
      <c r="B401" s="381">
        <v>394</v>
      </c>
    </row>
    <row r="402" spans="2:2" x14ac:dyDescent="0.15">
      <c r="B402" s="381">
        <v>395</v>
      </c>
    </row>
    <row r="403" spans="2:2" x14ac:dyDescent="0.15">
      <c r="B403" s="381">
        <v>396</v>
      </c>
    </row>
    <row r="404" spans="2:2" x14ac:dyDescent="0.15">
      <c r="B404" s="381">
        <v>397</v>
      </c>
    </row>
    <row r="405" spans="2:2" x14ac:dyDescent="0.15">
      <c r="B405" s="381">
        <v>398</v>
      </c>
    </row>
    <row r="406" spans="2:2" x14ac:dyDescent="0.15">
      <c r="B406" s="381">
        <v>399</v>
      </c>
    </row>
    <row r="407" spans="2:2" x14ac:dyDescent="0.15">
      <c r="B407" s="381">
        <v>400</v>
      </c>
    </row>
    <row r="408" spans="2:2" x14ac:dyDescent="0.15">
      <c r="B408" s="381">
        <v>401</v>
      </c>
    </row>
    <row r="409" spans="2:2" x14ac:dyDescent="0.15">
      <c r="B409" s="381">
        <v>402</v>
      </c>
    </row>
    <row r="410" spans="2:2" x14ac:dyDescent="0.15">
      <c r="B410" s="381">
        <v>403</v>
      </c>
    </row>
    <row r="411" spans="2:2" x14ac:dyDescent="0.15">
      <c r="B411" s="381">
        <v>404</v>
      </c>
    </row>
    <row r="412" spans="2:2" x14ac:dyDescent="0.15">
      <c r="B412" s="381">
        <v>405</v>
      </c>
    </row>
    <row r="413" spans="2:2" x14ac:dyDescent="0.15">
      <c r="B413" s="381">
        <v>406</v>
      </c>
    </row>
    <row r="414" spans="2:2" x14ac:dyDescent="0.15">
      <c r="B414" s="381">
        <v>407</v>
      </c>
    </row>
    <row r="415" spans="2:2" x14ac:dyDescent="0.15">
      <c r="B415" s="381">
        <v>408</v>
      </c>
    </row>
    <row r="416" spans="2:2" x14ac:dyDescent="0.15">
      <c r="B416" s="381">
        <v>409</v>
      </c>
    </row>
    <row r="417" spans="2:2" x14ac:dyDescent="0.15">
      <c r="B417" s="381">
        <v>410</v>
      </c>
    </row>
    <row r="418" spans="2:2" x14ac:dyDescent="0.15">
      <c r="B418" s="381">
        <v>411</v>
      </c>
    </row>
    <row r="419" spans="2:2" x14ac:dyDescent="0.15">
      <c r="B419" s="381">
        <v>412</v>
      </c>
    </row>
    <row r="420" spans="2:2" x14ac:dyDescent="0.15">
      <c r="B420" s="381">
        <v>413</v>
      </c>
    </row>
    <row r="421" spans="2:2" x14ac:dyDescent="0.15">
      <c r="B421" s="381">
        <v>414</v>
      </c>
    </row>
    <row r="422" spans="2:2" x14ac:dyDescent="0.15">
      <c r="B422" s="381">
        <v>415</v>
      </c>
    </row>
    <row r="423" spans="2:2" x14ac:dyDescent="0.15">
      <c r="B423" s="381">
        <v>416</v>
      </c>
    </row>
    <row r="424" spans="2:2" x14ac:dyDescent="0.15">
      <c r="B424" s="381">
        <v>417</v>
      </c>
    </row>
    <row r="425" spans="2:2" x14ac:dyDescent="0.15">
      <c r="B425" s="381">
        <v>418</v>
      </c>
    </row>
    <row r="426" spans="2:2" x14ac:dyDescent="0.15">
      <c r="B426" s="381">
        <v>419</v>
      </c>
    </row>
    <row r="427" spans="2:2" x14ac:dyDescent="0.15">
      <c r="B427" s="381">
        <v>420</v>
      </c>
    </row>
    <row r="428" spans="2:2" x14ac:dyDescent="0.15">
      <c r="B428" s="381">
        <v>421</v>
      </c>
    </row>
    <row r="429" spans="2:2" x14ac:dyDescent="0.15">
      <c r="B429" s="381">
        <v>422</v>
      </c>
    </row>
    <row r="430" spans="2:2" x14ac:dyDescent="0.15">
      <c r="B430" s="381">
        <v>423</v>
      </c>
    </row>
    <row r="431" spans="2:2" x14ac:dyDescent="0.15">
      <c r="B431" s="381">
        <v>424</v>
      </c>
    </row>
    <row r="432" spans="2:2" x14ac:dyDescent="0.15">
      <c r="B432" s="381">
        <v>425</v>
      </c>
    </row>
    <row r="433" spans="2:2" x14ac:dyDescent="0.15">
      <c r="B433" s="381">
        <v>426</v>
      </c>
    </row>
    <row r="434" spans="2:2" x14ac:dyDescent="0.15">
      <c r="B434" s="381">
        <v>427</v>
      </c>
    </row>
    <row r="435" spans="2:2" x14ac:dyDescent="0.15">
      <c r="B435" s="381">
        <v>428</v>
      </c>
    </row>
    <row r="436" spans="2:2" x14ac:dyDescent="0.15">
      <c r="B436" s="381">
        <v>429</v>
      </c>
    </row>
    <row r="437" spans="2:2" x14ac:dyDescent="0.15">
      <c r="B437" s="381">
        <v>430</v>
      </c>
    </row>
    <row r="438" spans="2:2" x14ac:dyDescent="0.15">
      <c r="B438" s="381">
        <v>431</v>
      </c>
    </row>
    <row r="439" spans="2:2" x14ac:dyDescent="0.15">
      <c r="B439" s="381">
        <v>432</v>
      </c>
    </row>
    <row r="440" spans="2:2" x14ac:dyDescent="0.15">
      <c r="B440" s="381">
        <v>433</v>
      </c>
    </row>
    <row r="441" spans="2:2" x14ac:dyDescent="0.15">
      <c r="B441" s="381">
        <v>434</v>
      </c>
    </row>
    <row r="442" spans="2:2" x14ac:dyDescent="0.15">
      <c r="B442" s="381">
        <v>435</v>
      </c>
    </row>
    <row r="443" spans="2:2" x14ac:dyDescent="0.15">
      <c r="B443" s="381">
        <v>436</v>
      </c>
    </row>
    <row r="444" spans="2:2" x14ac:dyDescent="0.15">
      <c r="B444" s="381">
        <v>437</v>
      </c>
    </row>
    <row r="445" spans="2:2" x14ac:dyDescent="0.15">
      <c r="B445" s="381">
        <v>438</v>
      </c>
    </row>
    <row r="446" spans="2:2" x14ac:dyDescent="0.15">
      <c r="B446" s="381">
        <v>439</v>
      </c>
    </row>
    <row r="447" spans="2:2" x14ac:dyDescent="0.15">
      <c r="B447" s="381">
        <v>440</v>
      </c>
    </row>
    <row r="448" spans="2:2" x14ac:dyDescent="0.15">
      <c r="B448" s="381">
        <v>441</v>
      </c>
    </row>
    <row r="449" spans="2:2" x14ac:dyDescent="0.15">
      <c r="B449" s="381">
        <v>442</v>
      </c>
    </row>
    <row r="450" spans="2:2" x14ac:dyDescent="0.15">
      <c r="B450" s="381">
        <v>443</v>
      </c>
    </row>
    <row r="451" spans="2:2" x14ac:dyDescent="0.15">
      <c r="B451" s="381">
        <v>444</v>
      </c>
    </row>
    <row r="452" spans="2:2" x14ac:dyDescent="0.15">
      <c r="B452" s="381">
        <v>445</v>
      </c>
    </row>
    <row r="453" spans="2:2" x14ac:dyDescent="0.15">
      <c r="B453" s="381">
        <v>446</v>
      </c>
    </row>
    <row r="454" spans="2:2" x14ac:dyDescent="0.15">
      <c r="B454" s="381">
        <v>447</v>
      </c>
    </row>
    <row r="455" spans="2:2" x14ac:dyDescent="0.15">
      <c r="B455" s="381">
        <v>448</v>
      </c>
    </row>
    <row r="456" spans="2:2" x14ac:dyDescent="0.15">
      <c r="B456" s="381">
        <v>449</v>
      </c>
    </row>
    <row r="457" spans="2:2" x14ac:dyDescent="0.15">
      <c r="B457" s="381">
        <v>450</v>
      </c>
    </row>
    <row r="458" spans="2:2" x14ac:dyDescent="0.15">
      <c r="B458" s="381">
        <v>451</v>
      </c>
    </row>
    <row r="459" spans="2:2" x14ac:dyDescent="0.15">
      <c r="B459" s="381">
        <v>452</v>
      </c>
    </row>
    <row r="460" spans="2:2" x14ac:dyDescent="0.15">
      <c r="B460" s="381">
        <v>453</v>
      </c>
    </row>
    <row r="461" spans="2:2" x14ac:dyDescent="0.15">
      <c r="B461" s="381">
        <v>454</v>
      </c>
    </row>
    <row r="462" spans="2:2" x14ac:dyDescent="0.15">
      <c r="B462" s="381">
        <v>455</v>
      </c>
    </row>
    <row r="463" spans="2:2" x14ac:dyDescent="0.15">
      <c r="B463" s="381">
        <v>456</v>
      </c>
    </row>
    <row r="464" spans="2:2" x14ac:dyDescent="0.15">
      <c r="B464" s="381">
        <v>457</v>
      </c>
    </row>
    <row r="465" spans="2:2" x14ac:dyDescent="0.15">
      <c r="B465" s="381">
        <v>458</v>
      </c>
    </row>
    <row r="466" spans="2:2" x14ac:dyDescent="0.15">
      <c r="B466" s="381">
        <v>459</v>
      </c>
    </row>
    <row r="467" spans="2:2" x14ac:dyDescent="0.15">
      <c r="B467" s="381">
        <v>460</v>
      </c>
    </row>
    <row r="468" spans="2:2" x14ac:dyDescent="0.15">
      <c r="B468" s="381">
        <v>461</v>
      </c>
    </row>
    <row r="469" spans="2:2" x14ac:dyDescent="0.15">
      <c r="B469" s="381">
        <v>462</v>
      </c>
    </row>
    <row r="470" spans="2:2" x14ac:dyDescent="0.15">
      <c r="B470" s="381">
        <v>463</v>
      </c>
    </row>
    <row r="471" spans="2:2" x14ac:dyDescent="0.15">
      <c r="B471" s="381">
        <v>464</v>
      </c>
    </row>
    <row r="472" spans="2:2" x14ac:dyDescent="0.15">
      <c r="B472" s="381">
        <v>465</v>
      </c>
    </row>
    <row r="473" spans="2:2" x14ac:dyDescent="0.15">
      <c r="B473" s="381">
        <v>466</v>
      </c>
    </row>
    <row r="474" spans="2:2" x14ac:dyDescent="0.15">
      <c r="B474" s="381">
        <v>467</v>
      </c>
    </row>
    <row r="475" spans="2:2" x14ac:dyDescent="0.15">
      <c r="B475" s="381">
        <v>468</v>
      </c>
    </row>
    <row r="476" spans="2:2" x14ac:dyDescent="0.15">
      <c r="B476" s="381">
        <v>469</v>
      </c>
    </row>
    <row r="477" spans="2:2" x14ac:dyDescent="0.15">
      <c r="B477" s="381">
        <v>470</v>
      </c>
    </row>
    <row r="478" spans="2:2" x14ac:dyDescent="0.15">
      <c r="B478" s="381">
        <v>471</v>
      </c>
    </row>
    <row r="479" spans="2:2" x14ac:dyDescent="0.15">
      <c r="B479" s="381">
        <v>472</v>
      </c>
    </row>
    <row r="480" spans="2:2" x14ac:dyDescent="0.15">
      <c r="B480" s="381">
        <v>473</v>
      </c>
    </row>
    <row r="481" spans="2:2" x14ac:dyDescent="0.15">
      <c r="B481" s="381">
        <v>474</v>
      </c>
    </row>
    <row r="482" spans="2:2" x14ac:dyDescent="0.15">
      <c r="B482" s="381">
        <v>475</v>
      </c>
    </row>
    <row r="483" spans="2:2" x14ac:dyDescent="0.15">
      <c r="B483" s="381">
        <v>476</v>
      </c>
    </row>
    <row r="484" spans="2:2" x14ac:dyDescent="0.15">
      <c r="B484" s="381">
        <v>477</v>
      </c>
    </row>
    <row r="485" spans="2:2" x14ac:dyDescent="0.15">
      <c r="B485" s="381">
        <v>478</v>
      </c>
    </row>
    <row r="486" spans="2:2" x14ac:dyDescent="0.15">
      <c r="B486" s="381">
        <v>479</v>
      </c>
    </row>
    <row r="487" spans="2:2" x14ac:dyDescent="0.15">
      <c r="B487" s="381">
        <v>480</v>
      </c>
    </row>
    <row r="488" spans="2:2" x14ac:dyDescent="0.15">
      <c r="B488" s="381">
        <v>481</v>
      </c>
    </row>
    <row r="489" spans="2:2" x14ac:dyDescent="0.15">
      <c r="B489" s="381">
        <v>482</v>
      </c>
    </row>
    <row r="490" spans="2:2" x14ac:dyDescent="0.15">
      <c r="B490" s="381">
        <v>483</v>
      </c>
    </row>
    <row r="491" spans="2:2" x14ac:dyDescent="0.15">
      <c r="B491" s="381">
        <v>484</v>
      </c>
    </row>
    <row r="492" spans="2:2" x14ac:dyDescent="0.15">
      <c r="B492" s="381">
        <v>485</v>
      </c>
    </row>
    <row r="493" spans="2:2" x14ac:dyDescent="0.15">
      <c r="B493" s="381">
        <v>486</v>
      </c>
    </row>
    <row r="494" spans="2:2" x14ac:dyDescent="0.15">
      <c r="B494" s="381">
        <v>487</v>
      </c>
    </row>
    <row r="495" spans="2:2" x14ac:dyDescent="0.15">
      <c r="B495" s="381">
        <v>488</v>
      </c>
    </row>
    <row r="496" spans="2:2" x14ac:dyDescent="0.15">
      <c r="B496" s="381">
        <v>489</v>
      </c>
    </row>
    <row r="497" spans="2:2" x14ac:dyDescent="0.15">
      <c r="B497" s="381">
        <v>490</v>
      </c>
    </row>
    <row r="498" spans="2:2" x14ac:dyDescent="0.15">
      <c r="B498" s="381">
        <v>491</v>
      </c>
    </row>
    <row r="499" spans="2:2" x14ac:dyDescent="0.15">
      <c r="B499" s="381">
        <v>492</v>
      </c>
    </row>
    <row r="500" spans="2:2" x14ac:dyDescent="0.15">
      <c r="B500" s="381">
        <v>493</v>
      </c>
    </row>
    <row r="501" spans="2:2" x14ac:dyDescent="0.15">
      <c r="B501" s="381">
        <v>494</v>
      </c>
    </row>
    <row r="502" spans="2:2" x14ac:dyDescent="0.15">
      <c r="B502" s="381">
        <v>495</v>
      </c>
    </row>
    <row r="503" spans="2:2" x14ac:dyDescent="0.15">
      <c r="B503" s="381">
        <v>496</v>
      </c>
    </row>
    <row r="504" spans="2:2" x14ac:dyDescent="0.15">
      <c r="B504" s="381">
        <v>497</v>
      </c>
    </row>
    <row r="505" spans="2:2" x14ac:dyDescent="0.15">
      <c r="B505" s="381">
        <v>498</v>
      </c>
    </row>
    <row r="506" spans="2:2" x14ac:dyDescent="0.15">
      <c r="B506" s="381">
        <v>499</v>
      </c>
    </row>
    <row r="507" spans="2:2" x14ac:dyDescent="0.15">
      <c r="B507" s="381">
        <v>500</v>
      </c>
    </row>
    <row r="508" spans="2:2" x14ac:dyDescent="0.15">
      <c r="B508" s="381">
        <v>501</v>
      </c>
    </row>
    <row r="509" spans="2:2" x14ac:dyDescent="0.15">
      <c r="B509" s="381">
        <v>502</v>
      </c>
    </row>
    <row r="510" spans="2:2" x14ac:dyDescent="0.15">
      <c r="B510" s="381">
        <v>503</v>
      </c>
    </row>
    <row r="511" spans="2:2" x14ac:dyDescent="0.15">
      <c r="B511" s="381">
        <v>504</v>
      </c>
    </row>
    <row r="512" spans="2:2" x14ac:dyDescent="0.15">
      <c r="B512" s="381">
        <v>505</v>
      </c>
    </row>
    <row r="513" spans="2:2" x14ac:dyDescent="0.15">
      <c r="B513" s="381">
        <v>506</v>
      </c>
    </row>
    <row r="514" spans="2:2" x14ac:dyDescent="0.15">
      <c r="B514" s="381">
        <v>507</v>
      </c>
    </row>
    <row r="515" spans="2:2" x14ac:dyDescent="0.15">
      <c r="B515" s="381">
        <v>508</v>
      </c>
    </row>
    <row r="516" spans="2:2" x14ac:dyDescent="0.15">
      <c r="B516" s="381">
        <v>509</v>
      </c>
    </row>
    <row r="517" spans="2:2" x14ac:dyDescent="0.15">
      <c r="B517" s="381">
        <v>510</v>
      </c>
    </row>
    <row r="518" spans="2:2" x14ac:dyDescent="0.15">
      <c r="B518" s="381">
        <v>511</v>
      </c>
    </row>
    <row r="519" spans="2:2" x14ac:dyDescent="0.15">
      <c r="B519" s="381">
        <v>512</v>
      </c>
    </row>
    <row r="520" spans="2:2" x14ac:dyDescent="0.15">
      <c r="B520" s="381">
        <v>513</v>
      </c>
    </row>
    <row r="521" spans="2:2" x14ac:dyDescent="0.15">
      <c r="B521" s="381">
        <v>514</v>
      </c>
    </row>
    <row r="522" spans="2:2" x14ac:dyDescent="0.15">
      <c r="B522" s="381">
        <v>515</v>
      </c>
    </row>
    <row r="523" spans="2:2" x14ac:dyDescent="0.15">
      <c r="B523" s="381">
        <v>516</v>
      </c>
    </row>
    <row r="524" spans="2:2" x14ac:dyDescent="0.15">
      <c r="B524" s="381">
        <v>517</v>
      </c>
    </row>
    <row r="525" spans="2:2" x14ac:dyDescent="0.15">
      <c r="B525" s="381">
        <v>518</v>
      </c>
    </row>
    <row r="526" spans="2:2" x14ac:dyDescent="0.15">
      <c r="B526" s="381">
        <v>519</v>
      </c>
    </row>
    <row r="527" spans="2:2" x14ac:dyDescent="0.15">
      <c r="B527" s="381">
        <v>520</v>
      </c>
    </row>
    <row r="528" spans="2:2" x14ac:dyDescent="0.15">
      <c r="B528" s="381">
        <v>521</v>
      </c>
    </row>
    <row r="529" spans="2:2" x14ac:dyDescent="0.15">
      <c r="B529" s="381">
        <v>522</v>
      </c>
    </row>
    <row r="530" spans="2:2" x14ac:dyDescent="0.15">
      <c r="B530" s="381">
        <v>523</v>
      </c>
    </row>
    <row r="531" spans="2:2" x14ac:dyDescent="0.15">
      <c r="B531" s="381">
        <v>524</v>
      </c>
    </row>
    <row r="532" spans="2:2" x14ac:dyDescent="0.15">
      <c r="B532" s="381">
        <v>525</v>
      </c>
    </row>
    <row r="533" spans="2:2" x14ac:dyDescent="0.15">
      <c r="B533" s="381">
        <v>526</v>
      </c>
    </row>
    <row r="534" spans="2:2" x14ac:dyDescent="0.15">
      <c r="B534" s="381">
        <v>527</v>
      </c>
    </row>
    <row r="535" spans="2:2" x14ac:dyDescent="0.15">
      <c r="B535" s="381">
        <v>528</v>
      </c>
    </row>
    <row r="536" spans="2:2" x14ac:dyDescent="0.15">
      <c r="B536" s="381">
        <v>529</v>
      </c>
    </row>
    <row r="537" spans="2:2" x14ac:dyDescent="0.15">
      <c r="B537" s="381">
        <v>530</v>
      </c>
    </row>
    <row r="538" spans="2:2" x14ac:dyDescent="0.15">
      <c r="B538" s="381">
        <v>531</v>
      </c>
    </row>
    <row r="539" spans="2:2" x14ac:dyDescent="0.15">
      <c r="B539" s="381">
        <v>532</v>
      </c>
    </row>
    <row r="540" spans="2:2" x14ac:dyDescent="0.15">
      <c r="B540" s="381">
        <v>533</v>
      </c>
    </row>
    <row r="541" spans="2:2" x14ac:dyDescent="0.15">
      <c r="B541" s="381">
        <v>534</v>
      </c>
    </row>
    <row r="542" spans="2:2" x14ac:dyDescent="0.15">
      <c r="B542" s="381">
        <v>535</v>
      </c>
    </row>
    <row r="543" spans="2:2" x14ac:dyDescent="0.15">
      <c r="B543" s="381">
        <v>536</v>
      </c>
    </row>
    <row r="544" spans="2:2" x14ac:dyDescent="0.15">
      <c r="B544" s="381">
        <v>537</v>
      </c>
    </row>
    <row r="545" spans="2:2" x14ac:dyDescent="0.15">
      <c r="B545" s="381">
        <v>538</v>
      </c>
    </row>
    <row r="546" spans="2:2" x14ac:dyDescent="0.15">
      <c r="B546" s="381">
        <v>539</v>
      </c>
    </row>
    <row r="547" spans="2:2" x14ac:dyDescent="0.15">
      <c r="B547" s="381">
        <v>540</v>
      </c>
    </row>
    <row r="548" spans="2:2" x14ac:dyDescent="0.15">
      <c r="B548" s="381">
        <v>541</v>
      </c>
    </row>
    <row r="549" spans="2:2" x14ac:dyDescent="0.15">
      <c r="B549" s="381">
        <v>542</v>
      </c>
    </row>
    <row r="550" spans="2:2" x14ac:dyDescent="0.15">
      <c r="B550" s="381">
        <v>543</v>
      </c>
    </row>
    <row r="551" spans="2:2" x14ac:dyDescent="0.15">
      <c r="B551" s="381">
        <v>544</v>
      </c>
    </row>
    <row r="552" spans="2:2" x14ac:dyDescent="0.15">
      <c r="B552" s="381">
        <v>545</v>
      </c>
    </row>
    <row r="553" spans="2:2" x14ac:dyDescent="0.15">
      <c r="B553" s="381">
        <v>546</v>
      </c>
    </row>
    <row r="554" spans="2:2" x14ac:dyDescent="0.15">
      <c r="B554" s="381">
        <v>547</v>
      </c>
    </row>
    <row r="555" spans="2:2" x14ac:dyDescent="0.15">
      <c r="B555" s="381">
        <v>548</v>
      </c>
    </row>
    <row r="556" spans="2:2" x14ac:dyDescent="0.15">
      <c r="B556" s="381">
        <v>549</v>
      </c>
    </row>
    <row r="557" spans="2:2" x14ac:dyDescent="0.15">
      <c r="B557" s="381">
        <v>550</v>
      </c>
    </row>
    <row r="558" spans="2:2" x14ac:dyDescent="0.15">
      <c r="B558" s="381">
        <v>551</v>
      </c>
    </row>
    <row r="559" spans="2:2" x14ac:dyDescent="0.15">
      <c r="B559" s="381">
        <v>552</v>
      </c>
    </row>
    <row r="560" spans="2:2" x14ac:dyDescent="0.15">
      <c r="B560" s="381">
        <v>553</v>
      </c>
    </row>
    <row r="561" spans="2:2" x14ac:dyDescent="0.15">
      <c r="B561" s="381">
        <v>554</v>
      </c>
    </row>
    <row r="562" spans="2:2" x14ac:dyDescent="0.15">
      <c r="B562" s="381">
        <v>555</v>
      </c>
    </row>
    <row r="563" spans="2:2" x14ac:dyDescent="0.15">
      <c r="B563" s="381">
        <v>556</v>
      </c>
    </row>
    <row r="564" spans="2:2" x14ac:dyDescent="0.15">
      <c r="B564" s="381">
        <v>557</v>
      </c>
    </row>
    <row r="565" spans="2:2" x14ac:dyDescent="0.15">
      <c r="B565" s="381">
        <v>558</v>
      </c>
    </row>
    <row r="566" spans="2:2" x14ac:dyDescent="0.15">
      <c r="B566" s="381">
        <v>559</v>
      </c>
    </row>
    <row r="567" spans="2:2" x14ac:dyDescent="0.15">
      <c r="B567" s="381">
        <v>560</v>
      </c>
    </row>
    <row r="568" spans="2:2" x14ac:dyDescent="0.15">
      <c r="B568" s="381">
        <v>561</v>
      </c>
    </row>
    <row r="569" spans="2:2" x14ac:dyDescent="0.15">
      <c r="B569" s="381">
        <v>562</v>
      </c>
    </row>
    <row r="570" spans="2:2" x14ac:dyDescent="0.15">
      <c r="B570" s="381">
        <v>563</v>
      </c>
    </row>
    <row r="571" spans="2:2" x14ac:dyDescent="0.15">
      <c r="B571" s="381">
        <v>564</v>
      </c>
    </row>
    <row r="572" spans="2:2" x14ac:dyDescent="0.15">
      <c r="B572" s="381">
        <v>565</v>
      </c>
    </row>
    <row r="573" spans="2:2" x14ac:dyDescent="0.15">
      <c r="B573" s="381">
        <v>566</v>
      </c>
    </row>
    <row r="574" spans="2:2" x14ac:dyDescent="0.15">
      <c r="B574" s="381">
        <v>567</v>
      </c>
    </row>
    <row r="575" spans="2:2" x14ac:dyDescent="0.15">
      <c r="B575" s="381">
        <v>568</v>
      </c>
    </row>
    <row r="576" spans="2:2" x14ac:dyDescent="0.15">
      <c r="B576" s="381">
        <v>569</v>
      </c>
    </row>
    <row r="577" spans="2:2" x14ac:dyDescent="0.15">
      <c r="B577" s="381">
        <v>570</v>
      </c>
    </row>
    <row r="578" spans="2:2" x14ac:dyDescent="0.15">
      <c r="B578" s="381">
        <v>571</v>
      </c>
    </row>
    <row r="579" spans="2:2" x14ac:dyDescent="0.15">
      <c r="B579" s="381">
        <v>572</v>
      </c>
    </row>
    <row r="580" spans="2:2" x14ac:dyDescent="0.15">
      <c r="B580" s="381">
        <v>573</v>
      </c>
    </row>
    <row r="581" spans="2:2" x14ac:dyDescent="0.15">
      <c r="B581" s="381">
        <v>574</v>
      </c>
    </row>
    <row r="582" spans="2:2" x14ac:dyDescent="0.15">
      <c r="B582" s="381">
        <v>575</v>
      </c>
    </row>
    <row r="583" spans="2:2" x14ac:dyDescent="0.15">
      <c r="B583" s="381">
        <v>576</v>
      </c>
    </row>
    <row r="584" spans="2:2" x14ac:dyDescent="0.15">
      <c r="B584" s="381">
        <v>577</v>
      </c>
    </row>
    <row r="585" spans="2:2" x14ac:dyDescent="0.15">
      <c r="B585" s="381">
        <v>578</v>
      </c>
    </row>
    <row r="586" spans="2:2" x14ac:dyDescent="0.15">
      <c r="B586" s="381">
        <v>579</v>
      </c>
    </row>
    <row r="587" spans="2:2" x14ac:dyDescent="0.15">
      <c r="B587" s="381">
        <v>580</v>
      </c>
    </row>
    <row r="588" spans="2:2" x14ac:dyDescent="0.15">
      <c r="B588" s="381">
        <v>581</v>
      </c>
    </row>
    <row r="589" spans="2:2" x14ac:dyDescent="0.15">
      <c r="B589" s="381">
        <v>582</v>
      </c>
    </row>
    <row r="590" spans="2:2" x14ac:dyDescent="0.15">
      <c r="B590" s="381">
        <v>583</v>
      </c>
    </row>
    <row r="591" spans="2:2" x14ac:dyDescent="0.15">
      <c r="B591" s="381">
        <v>584</v>
      </c>
    </row>
    <row r="592" spans="2:2" x14ac:dyDescent="0.15">
      <c r="B592" s="381">
        <v>585</v>
      </c>
    </row>
    <row r="593" spans="2:2" x14ac:dyDescent="0.15">
      <c r="B593" s="381">
        <v>586</v>
      </c>
    </row>
    <row r="594" spans="2:2" x14ac:dyDescent="0.15">
      <c r="B594" s="381">
        <v>587</v>
      </c>
    </row>
    <row r="595" spans="2:2" x14ac:dyDescent="0.15">
      <c r="B595" s="381">
        <v>588</v>
      </c>
    </row>
    <row r="596" spans="2:2" x14ac:dyDescent="0.15">
      <c r="B596" s="381">
        <v>589</v>
      </c>
    </row>
    <row r="597" spans="2:2" x14ac:dyDescent="0.15">
      <c r="B597" s="381">
        <v>590</v>
      </c>
    </row>
    <row r="598" spans="2:2" x14ac:dyDescent="0.15">
      <c r="B598" s="381">
        <v>591</v>
      </c>
    </row>
    <row r="599" spans="2:2" x14ac:dyDescent="0.15">
      <c r="B599" s="381">
        <v>592</v>
      </c>
    </row>
    <row r="600" spans="2:2" x14ac:dyDescent="0.15">
      <c r="B600" s="381">
        <v>593</v>
      </c>
    </row>
    <row r="601" spans="2:2" x14ac:dyDescent="0.15">
      <c r="B601" s="381">
        <v>594</v>
      </c>
    </row>
    <row r="602" spans="2:2" x14ac:dyDescent="0.15">
      <c r="B602" s="381">
        <v>595</v>
      </c>
    </row>
    <row r="603" spans="2:2" x14ac:dyDescent="0.15">
      <c r="B603" s="381">
        <v>596</v>
      </c>
    </row>
    <row r="604" spans="2:2" x14ac:dyDescent="0.15">
      <c r="B604" s="381">
        <v>597</v>
      </c>
    </row>
    <row r="605" spans="2:2" x14ac:dyDescent="0.15">
      <c r="B605" s="381">
        <v>598</v>
      </c>
    </row>
    <row r="606" spans="2:2" x14ac:dyDescent="0.15">
      <c r="B606" s="381">
        <v>599</v>
      </c>
    </row>
    <row r="607" spans="2:2" x14ac:dyDescent="0.15">
      <c r="B607" s="381">
        <v>600</v>
      </c>
    </row>
    <row r="608" spans="2:2" x14ac:dyDescent="0.15">
      <c r="B608" s="381">
        <v>601</v>
      </c>
    </row>
    <row r="609" spans="2:2" x14ac:dyDescent="0.15">
      <c r="B609" s="381">
        <v>602</v>
      </c>
    </row>
    <row r="610" spans="2:2" x14ac:dyDescent="0.15">
      <c r="B610" s="381">
        <v>603</v>
      </c>
    </row>
    <row r="611" spans="2:2" x14ac:dyDescent="0.15">
      <c r="B611" s="381">
        <v>604</v>
      </c>
    </row>
    <row r="612" spans="2:2" x14ac:dyDescent="0.15">
      <c r="B612" s="381">
        <v>605</v>
      </c>
    </row>
    <row r="613" spans="2:2" x14ac:dyDescent="0.15">
      <c r="B613" s="381">
        <v>606</v>
      </c>
    </row>
    <row r="614" spans="2:2" x14ac:dyDescent="0.15">
      <c r="B614" s="381">
        <v>607</v>
      </c>
    </row>
    <row r="615" spans="2:2" x14ac:dyDescent="0.15">
      <c r="B615" s="381">
        <v>608</v>
      </c>
    </row>
    <row r="616" spans="2:2" x14ac:dyDescent="0.15">
      <c r="B616" s="381">
        <v>609</v>
      </c>
    </row>
    <row r="617" spans="2:2" x14ac:dyDescent="0.15">
      <c r="B617" s="381">
        <v>610</v>
      </c>
    </row>
    <row r="618" spans="2:2" x14ac:dyDescent="0.15">
      <c r="B618" s="381">
        <v>611</v>
      </c>
    </row>
    <row r="619" spans="2:2" x14ac:dyDescent="0.15">
      <c r="B619" s="381">
        <v>612</v>
      </c>
    </row>
    <row r="620" spans="2:2" x14ac:dyDescent="0.15">
      <c r="B620" s="381">
        <v>613</v>
      </c>
    </row>
    <row r="621" spans="2:2" x14ac:dyDescent="0.15">
      <c r="B621" s="381">
        <v>614</v>
      </c>
    </row>
    <row r="622" spans="2:2" x14ac:dyDescent="0.15">
      <c r="B622" s="381">
        <v>615</v>
      </c>
    </row>
    <row r="623" spans="2:2" x14ac:dyDescent="0.15">
      <c r="B623" s="381">
        <v>616</v>
      </c>
    </row>
    <row r="624" spans="2:2" x14ac:dyDescent="0.15">
      <c r="B624" s="381">
        <v>617</v>
      </c>
    </row>
    <row r="625" spans="2:2" x14ac:dyDescent="0.15">
      <c r="B625" s="381">
        <v>618</v>
      </c>
    </row>
    <row r="626" spans="2:2" x14ac:dyDescent="0.15">
      <c r="B626" s="381">
        <v>619</v>
      </c>
    </row>
    <row r="627" spans="2:2" x14ac:dyDescent="0.15">
      <c r="B627" s="381">
        <v>620</v>
      </c>
    </row>
    <row r="628" spans="2:2" x14ac:dyDescent="0.15">
      <c r="B628" s="381">
        <v>621</v>
      </c>
    </row>
    <row r="629" spans="2:2" x14ac:dyDescent="0.15">
      <c r="B629" s="381">
        <v>622</v>
      </c>
    </row>
    <row r="630" spans="2:2" x14ac:dyDescent="0.15">
      <c r="B630" s="381">
        <v>623</v>
      </c>
    </row>
    <row r="631" spans="2:2" x14ac:dyDescent="0.15">
      <c r="B631" s="381">
        <v>624</v>
      </c>
    </row>
    <row r="632" spans="2:2" x14ac:dyDescent="0.15">
      <c r="B632" s="381">
        <v>625</v>
      </c>
    </row>
    <row r="633" spans="2:2" x14ac:dyDescent="0.15">
      <c r="B633" s="381">
        <v>626</v>
      </c>
    </row>
    <row r="634" spans="2:2" x14ac:dyDescent="0.15">
      <c r="B634" s="381">
        <v>627</v>
      </c>
    </row>
    <row r="635" spans="2:2" x14ac:dyDescent="0.15">
      <c r="B635" s="381">
        <v>628</v>
      </c>
    </row>
    <row r="636" spans="2:2" x14ac:dyDescent="0.15">
      <c r="B636" s="381">
        <v>629</v>
      </c>
    </row>
    <row r="637" spans="2:2" x14ac:dyDescent="0.15">
      <c r="B637" s="381">
        <v>630</v>
      </c>
    </row>
    <row r="638" spans="2:2" x14ac:dyDescent="0.15">
      <c r="B638" s="381">
        <v>631</v>
      </c>
    </row>
    <row r="639" spans="2:2" x14ac:dyDescent="0.15">
      <c r="B639" s="381">
        <v>632</v>
      </c>
    </row>
    <row r="640" spans="2:2" x14ac:dyDescent="0.15">
      <c r="B640" s="381">
        <v>633</v>
      </c>
    </row>
    <row r="641" spans="2:2" x14ac:dyDescent="0.15">
      <c r="B641" s="381">
        <v>634</v>
      </c>
    </row>
    <row r="642" spans="2:2" x14ac:dyDescent="0.15">
      <c r="B642" s="381">
        <v>635</v>
      </c>
    </row>
    <row r="643" spans="2:2" x14ac:dyDescent="0.15">
      <c r="B643" s="381">
        <v>636</v>
      </c>
    </row>
    <row r="644" spans="2:2" x14ac:dyDescent="0.15">
      <c r="B644" s="381">
        <v>637</v>
      </c>
    </row>
    <row r="645" spans="2:2" x14ac:dyDescent="0.15">
      <c r="B645" s="381">
        <v>638</v>
      </c>
    </row>
    <row r="646" spans="2:2" x14ac:dyDescent="0.15">
      <c r="B646" s="381">
        <v>639</v>
      </c>
    </row>
    <row r="647" spans="2:2" x14ac:dyDescent="0.15">
      <c r="B647" s="381">
        <v>640</v>
      </c>
    </row>
    <row r="648" spans="2:2" x14ac:dyDescent="0.15">
      <c r="B648" s="381">
        <v>641</v>
      </c>
    </row>
    <row r="649" spans="2:2" x14ac:dyDescent="0.15">
      <c r="B649" s="381">
        <v>642</v>
      </c>
    </row>
    <row r="650" spans="2:2" x14ac:dyDescent="0.15">
      <c r="B650" s="381">
        <v>643</v>
      </c>
    </row>
    <row r="651" spans="2:2" x14ac:dyDescent="0.15">
      <c r="B651" s="381">
        <v>644</v>
      </c>
    </row>
    <row r="652" spans="2:2" x14ac:dyDescent="0.15">
      <c r="B652" s="381">
        <v>645</v>
      </c>
    </row>
    <row r="653" spans="2:2" x14ac:dyDescent="0.15">
      <c r="B653" s="381">
        <v>646</v>
      </c>
    </row>
    <row r="654" spans="2:2" x14ac:dyDescent="0.15">
      <c r="B654" s="381">
        <v>647</v>
      </c>
    </row>
    <row r="655" spans="2:2" x14ac:dyDescent="0.15">
      <c r="B655" s="381">
        <v>648</v>
      </c>
    </row>
    <row r="656" spans="2:2" x14ac:dyDescent="0.15">
      <c r="B656" s="381">
        <v>649</v>
      </c>
    </row>
    <row r="657" spans="2:2" x14ac:dyDescent="0.15">
      <c r="B657" s="381">
        <v>650</v>
      </c>
    </row>
    <row r="658" spans="2:2" x14ac:dyDescent="0.15">
      <c r="B658" s="381">
        <v>651</v>
      </c>
    </row>
    <row r="659" spans="2:2" x14ac:dyDescent="0.15">
      <c r="B659" s="381">
        <v>652</v>
      </c>
    </row>
    <row r="660" spans="2:2" x14ac:dyDescent="0.15">
      <c r="B660" s="381">
        <v>653</v>
      </c>
    </row>
    <row r="661" spans="2:2" x14ac:dyDescent="0.15">
      <c r="B661" s="381">
        <v>654</v>
      </c>
    </row>
    <row r="662" spans="2:2" x14ac:dyDescent="0.15">
      <c r="B662" s="381">
        <v>655</v>
      </c>
    </row>
    <row r="663" spans="2:2" x14ac:dyDescent="0.15">
      <c r="B663" s="381">
        <v>656</v>
      </c>
    </row>
    <row r="664" spans="2:2" x14ac:dyDescent="0.15">
      <c r="B664" s="381">
        <v>657</v>
      </c>
    </row>
    <row r="665" spans="2:2" x14ac:dyDescent="0.15">
      <c r="B665" s="381">
        <v>658</v>
      </c>
    </row>
    <row r="666" spans="2:2" x14ac:dyDescent="0.15">
      <c r="B666" s="381">
        <v>659</v>
      </c>
    </row>
    <row r="667" spans="2:2" x14ac:dyDescent="0.15">
      <c r="B667" s="381">
        <v>660</v>
      </c>
    </row>
    <row r="668" spans="2:2" x14ac:dyDescent="0.15">
      <c r="B668" s="381">
        <v>661</v>
      </c>
    </row>
    <row r="669" spans="2:2" x14ac:dyDescent="0.15">
      <c r="B669" s="381">
        <v>662</v>
      </c>
    </row>
    <row r="670" spans="2:2" x14ac:dyDescent="0.15">
      <c r="B670" s="381">
        <v>663</v>
      </c>
    </row>
    <row r="671" spans="2:2" x14ac:dyDescent="0.15">
      <c r="B671" s="381">
        <v>664</v>
      </c>
    </row>
    <row r="672" spans="2:2" x14ac:dyDescent="0.15">
      <c r="B672" s="381">
        <v>665</v>
      </c>
    </row>
    <row r="673" spans="2:2" x14ac:dyDescent="0.15">
      <c r="B673" s="381">
        <v>666</v>
      </c>
    </row>
    <row r="674" spans="2:2" x14ac:dyDescent="0.15">
      <c r="B674" s="381">
        <v>667</v>
      </c>
    </row>
    <row r="675" spans="2:2" x14ac:dyDescent="0.15">
      <c r="B675" s="381">
        <v>668</v>
      </c>
    </row>
    <row r="676" spans="2:2" x14ac:dyDescent="0.15">
      <c r="B676" s="381">
        <v>669</v>
      </c>
    </row>
    <row r="677" spans="2:2" x14ac:dyDescent="0.15">
      <c r="B677" s="381">
        <v>670</v>
      </c>
    </row>
    <row r="678" spans="2:2" x14ac:dyDescent="0.15">
      <c r="B678" s="381">
        <v>671</v>
      </c>
    </row>
    <row r="679" spans="2:2" x14ac:dyDescent="0.15">
      <c r="B679" s="381">
        <v>672</v>
      </c>
    </row>
    <row r="680" spans="2:2" x14ac:dyDescent="0.15">
      <c r="B680" s="381">
        <v>673</v>
      </c>
    </row>
    <row r="681" spans="2:2" x14ac:dyDescent="0.15">
      <c r="B681" s="381">
        <v>674</v>
      </c>
    </row>
    <row r="682" spans="2:2" x14ac:dyDescent="0.15">
      <c r="B682" s="381">
        <v>675</v>
      </c>
    </row>
    <row r="683" spans="2:2" x14ac:dyDescent="0.15">
      <c r="B683" s="381">
        <v>676</v>
      </c>
    </row>
    <row r="684" spans="2:2" x14ac:dyDescent="0.15">
      <c r="B684" s="381">
        <v>677</v>
      </c>
    </row>
    <row r="685" spans="2:2" x14ac:dyDescent="0.15">
      <c r="B685" s="381">
        <v>678</v>
      </c>
    </row>
    <row r="686" spans="2:2" x14ac:dyDescent="0.15">
      <c r="B686" s="381">
        <v>679</v>
      </c>
    </row>
    <row r="687" spans="2:2" x14ac:dyDescent="0.15">
      <c r="B687" s="381">
        <v>680</v>
      </c>
    </row>
    <row r="688" spans="2:2" x14ac:dyDescent="0.15">
      <c r="B688" s="381">
        <v>681</v>
      </c>
    </row>
    <row r="689" spans="2:2" x14ac:dyDescent="0.15">
      <c r="B689" s="381">
        <v>682</v>
      </c>
    </row>
    <row r="690" spans="2:2" x14ac:dyDescent="0.15">
      <c r="B690" s="381">
        <v>683</v>
      </c>
    </row>
    <row r="691" spans="2:2" x14ac:dyDescent="0.15">
      <c r="B691" s="381">
        <v>684</v>
      </c>
    </row>
    <row r="692" spans="2:2" x14ac:dyDescent="0.15">
      <c r="B692" s="381">
        <v>685</v>
      </c>
    </row>
    <row r="693" spans="2:2" x14ac:dyDescent="0.15">
      <c r="B693" s="381">
        <v>686</v>
      </c>
    </row>
    <row r="694" spans="2:2" x14ac:dyDescent="0.15">
      <c r="B694" s="381">
        <v>687</v>
      </c>
    </row>
    <row r="695" spans="2:2" x14ac:dyDescent="0.15">
      <c r="B695" s="381">
        <v>688</v>
      </c>
    </row>
    <row r="696" spans="2:2" x14ac:dyDescent="0.15">
      <c r="B696" s="381">
        <v>689</v>
      </c>
    </row>
    <row r="697" spans="2:2" x14ac:dyDescent="0.15">
      <c r="B697" s="381">
        <v>690</v>
      </c>
    </row>
    <row r="698" spans="2:2" x14ac:dyDescent="0.15">
      <c r="B698" s="381">
        <v>691</v>
      </c>
    </row>
    <row r="699" spans="2:2" x14ac:dyDescent="0.15">
      <c r="B699" s="381">
        <v>692</v>
      </c>
    </row>
    <row r="700" spans="2:2" x14ac:dyDescent="0.15">
      <c r="B700" s="381">
        <v>693</v>
      </c>
    </row>
    <row r="701" spans="2:2" x14ac:dyDescent="0.15">
      <c r="B701" s="381">
        <v>694</v>
      </c>
    </row>
    <row r="702" spans="2:2" x14ac:dyDescent="0.15">
      <c r="B702" s="381">
        <v>695</v>
      </c>
    </row>
    <row r="703" spans="2:2" x14ac:dyDescent="0.15">
      <c r="B703" s="381">
        <v>696</v>
      </c>
    </row>
    <row r="704" spans="2:2" x14ac:dyDescent="0.15">
      <c r="B704" s="381">
        <v>697</v>
      </c>
    </row>
    <row r="705" spans="2:2" x14ac:dyDescent="0.15">
      <c r="B705" s="381">
        <v>698</v>
      </c>
    </row>
    <row r="706" spans="2:2" x14ac:dyDescent="0.15">
      <c r="B706" s="381">
        <v>699</v>
      </c>
    </row>
    <row r="707" spans="2:2" x14ac:dyDescent="0.15">
      <c r="B707" s="381">
        <v>700</v>
      </c>
    </row>
    <row r="708" spans="2:2" x14ac:dyDescent="0.15">
      <c r="B708" s="381">
        <v>701</v>
      </c>
    </row>
    <row r="709" spans="2:2" x14ac:dyDescent="0.15">
      <c r="B709" s="381">
        <v>702</v>
      </c>
    </row>
    <row r="710" spans="2:2" x14ac:dyDescent="0.15">
      <c r="B710" s="381">
        <v>703</v>
      </c>
    </row>
    <row r="711" spans="2:2" x14ac:dyDescent="0.15">
      <c r="B711" s="381">
        <v>704</v>
      </c>
    </row>
    <row r="712" spans="2:2" x14ac:dyDescent="0.15">
      <c r="B712" s="381">
        <v>705</v>
      </c>
    </row>
    <row r="713" spans="2:2" x14ac:dyDescent="0.15">
      <c r="B713" s="381">
        <v>706</v>
      </c>
    </row>
    <row r="714" spans="2:2" x14ac:dyDescent="0.15">
      <c r="B714" s="381">
        <v>707</v>
      </c>
    </row>
    <row r="715" spans="2:2" x14ac:dyDescent="0.15">
      <c r="B715" s="381">
        <v>708</v>
      </c>
    </row>
    <row r="716" spans="2:2" x14ac:dyDescent="0.15">
      <c r="B716" s="381">
        <v>709</v>
      </c>
    </row>
    <row r="717" spans="2:2" x14ac:dyDescent="0.15">
      <c r="B717" s="381">
        <v>710</v>
      </c>
    </row>
    <row r="718" spans="2:2" x14ac:dyDescent="0.15">
      <c r="B718" s="381">
        <v>711</v>
      </c>
    </row>
    <row r="719" spans="2:2" x14ac:dyDescent="0.15">
      <c r="B719" s="381">
        <v>712</v>
      </c>
    </row>
    <row r="720" spans="2:2" x14ac:dyDescent="0.15">
      <c r="B720" s="381">
        <v>713</v>
      </c>
    </row>
    <row r="721" spans="2:2" x14ac:dyDescent="0.15">
      <c r="B721" s="381">
        <v>714</v>
      </c>
    </row>
    <row r="722" spans="2:2" x14ac:dyDescent="0.15">
      <c r="B722" s="381">
        <v>715</v>
      </c>
    </row>
    <row r="723" spans="2:2" x14ac:dyDescent="0.15">
      <c r="B723" s="381">
        <v>716</v>
      </c>
    </row>
    <row r="724" spans="2:2" x14ac:dyDescent="0.15">
      <c r="B724" s="381">
        <v>717</v>
      </c>
    </row>
    <row r="725" spans="2:2" x14ac:dyDescent="0.15">
      <c r="B725" s="381">
        <v>718</v>
      </c>
    </row>
    <row r="726" spans="2:2" x14ac:dyDescent="0.15">
      <c r="B726" s="381">
        <v>719</v>
      </c>
    </row>
    <row r="727" spans="2:2" x14ac:dyDescent="0.15">
      <c r="B727" s="381">
        <v>720</v>
      </c>
    </row>
    <row r="728" spans="2:2" x14ac:dyDescent="0.15">
      <c r="B728" s="381">
        <v>721</v>
      </c>
    </row>
    <row r="729" spans="2:2" x14ac:dyDescent="0.15">
      <c r="B729" s="381">
        <v>722</v>
      </c>
    </row>
    <row r="730" spans="2:2" x14ac:dyDescent="0.15">
      <c r="B730" s="381">
        <v>723</v>
      </c>
    </row>
    <row r="731" spans="2:2" x14ac:dyDescent="0.15">
      <c r="B731" s="381">
        <v>724</v>
      </c>
    </row>
    <row r="732" spans="2:2" x14ac:dyDescent="0.15">
      <c r="B732" s="381">
        <v>725</v>
      </c>
    </row>
    <row r="733" spans="2:2" x14ac:dyDescent="0.15">
      <c r="B733" s="381">
        <v>726</v>
      </c>
    </row>
    <row r="734" spans="2:2" x14ac:dyDescent="0.15">
      <c r="B734" s="381">
        <v>727</v>
      </c>
    </row>
    <row r="735" spans="2:2" x14ac:dyDescent="0.15">
      <c r="B735" s="381">
        <v>728</v>
      </c>
    </row>
    <row r="736" spans="2:2" x14ac:dyDescent="0.15">
      <c r="B736" s="381">
        <v>729</v>
      </c>
    </row>
    <row r="737" spans="2:2" x14ac:dyDescent="0.15">
      <c r="B737" s="381">
        <v>730</v>
      </c>
    </row>
    <row r="738" spans="2:2" x14ac:dyDescent="0.15">
      <c r="B738" s="381">
        <v>731</v>
      </c>
    </row>
    <row r="739" spans="2:2" x14ac:dyDescent="0.15">
      <c r="B739" s="381">
        <v>732</v>
      </c>
    </row>
    <row r="740" spans="2:2" x14ac:dyDescent="0.15">
      <c r="B740" s="381">
        <v>733</v>
      </c>
    </row>
    <row r="741" spans="2:2" x14ac:dyDescent="0.15">
      <c r="B741" s="381">
        <v>734</v>
      </c>
    </row>
    <row r="742" spans="2:2" x14ac:dyDescent="0.15">
      <c r="B742" s="381">
        <v>735</v>
      </c>
    </row>
    <row r="743" spans="2:2" x14ac:dyDescent="0.15">
      <c r="B743" s="381">
        <v>736</v>
      </c>
    </row>
    <row r="744" spans="2:2" x14ac:dyDescent="0.15">
      <c r="B744" s="381">
        <v>737</v>
      </c>
    </row>
    <row r="745" spans="2:2" x14ac:dyDescent="0.15">
      <c r="B745" s="381">
        <v>738</v>
      </c>
    </row>
    <row r="746" spans="2:2" x14ac:dyDescent="0.15">
      <c r="B746" s="381">
        <v>739</v>
      </c>
    </row>
    <row r="747" spans="2:2" x14ac:dyDescent="0.15">
      <c r="B747" s="381">
        <v>740</v>
      </c>
    </row>
    <row r="748" spans="2:2" x14ac:dyDescent="0.15">
      <c r="B748" s="381">
        <v>741</v>
      </c>
    </row>
    <row r="749" spans="2:2" x14ac:dyDescent="0.15">
      <c r="B749" s="381">
        <v>742</v>
      </c>
    </row>
    <row r="750" spans="2:2" x14ac:dyDescent="0.15">
      <c r="B750" s="381">
        <v>743</v>
      </c>
    </row>
    <row r="751" spans="2:2" x14ac:dyDescent="0.15">
      <c r="B751" s="381">
        <v>744</v>
      </c>
    </row>
    <row r="752" spans="2:2" x14ac:dyDescent="0.15">
      <c r="B752" s="381">
        <v>745</v>
      </c>
    </row>
    <row r="753" spans="2:2" x14ac:dyDescent="0.15">
      <c r="B753" s="381">
        <v>746</v>
      </c>
    </row>
    <row r="754" spans="2:2" x14ac:dyDescent="0.15">
      <c r="B754" s="381">
        <v>747</v>
      </c>
    </row>
    <row r="755" spans="2:2" x14ac:dyDescent="0.15">
      <c r="B755" s="381">
        <v>748</v>
      </c>
    </row>
    <row r="756" spans="2:2" x14ac:dyDescent="0.15">
      <c r="B756" s="381">
        <v>749</v>
      </c>
    </row>
    <row r="757" spans="2:2" x14ac:dyDescent="0.15">
      <c r="B757" s="381">
        <v>750</v>
      </c>
    </row>
    <row r="758" spans="2:2" x14ac:dyDescent="0.15">
      <c r="B758" s="381">
        <v>751</v>
      </c>
    </row>
    <row r="759" spans="2:2" x14ac:dyDescent="0.15">
      <c r="B759" s="381">
        <v>752</v>
      </c>
    </row>
    <row r="760" spans="2:2" x14ac:dyDescent="0.15">
      <c r="B760" s="381">
        <v>753</v>
      </c>
    </row>
    <row r="761" spans="2:2" x14ac:dyDescent="0.15">
      <c r="B761" s="381">
        <v>754</v>
      </c>
    </row>
    <row r="762" spans="2:2" x14ac:dyDescent="0.15">
      <c r="B762" s="381">
        <v>755</v>
      </c>
    </row>
    <row r="763" spans="2:2" x14ac:dyDescent="0.15">
      <c r="B763" s="381">
        <v>756</v>
      </c>
    </row>
    <row r="764" spans="2:2" x14ac:dyDescent="0.15">
      <c r="B764" s="381">
        <v>757</v>
      </c>
    </row>
    <row r="765" spans="2:2" x14ac:dyDescent="0.15">
      <c r="B765" s="381">
        <v>758</v>
      </c>
    </row>
    <row r="766" spans="2:2" x14ac:dyDescent="0.15">
      <c r="B766" s="381">
        <v>759</v>
      </c>
    </row>
    <row r="767" spans="2:2" x14ac:dyDescent="0.15">
      <c r="B767" s="381">
        <v>760</v>
      </c>
    </row>
    <row r="768" spans="2:2" x14ac:dyDescent="0.15">
      <c r="B768" s="381">
        <v>761</v>
      </c>
    </row>
    <row r="769" spans="2:2" x14ac:dyDescent="0.15">
      <c r="B769" s="381">
        <v>762</v>
      </c>
    </row>
    <row r="770" spans="2:2" x14ac:dyDescent="0.15">
      <c r="B770" s="381">
        <v>763</v>
      </c>
    </row>
    <row r="771" spans="2:2" x14ac:dyDescent="0.15">
      <c r="B771" s="381">
        <v>764</v>
      </c>
    </row>
    <row r="772" spans="2:2" x14ac:dyDescent="0.15">
      <c r="B772" s="381">
        <v>765</v>
      </c>
    </row>
    <row r="773" spans="2:2" x14ac:dyDescent="0.15">
      <c r="B773" s="381">
        <v>766</v>
      </c>
    </row>
    <row r="774" spans="2:2" x14ac:dyDescent="0.15">
      <c r="B774" s="381">
        <v>767</v>
      </c>
    </row>
    <row r="775" spans="2:2" x14ac:dyDescent="0.15">
      <c r="B775" s="381">
        <v>768</v>
      </c>
    </row>
    <row r="776" spans="2:2" x14ac:dyDescent="0.15">
      <c r="B776" s="381">
        <v>769</v>
      </c>
    </row>
    <row r="777" spans="2:2" x14ac:dyDescent="0.15">
      <c r="B777" s="381">
        <v>770</v>
      </c>
    </row>
    <row r="778" spans="2:2" x14ac:dyDescent="0.15">
      <c r="B778" s="381">
        <v>771</v>
      </c>
    </row>
    <row r="779" spans="2:2" x14ac:dyDescent="0.15">
      <c r="B779" s="381">
        <v>772</v>
      </c>
    </row>
    <row r="780" spans="2:2" x14ac:dyDescent="0.15">
      <c r="B780" s="381">
        <v>773</v>
      </c>
    </row>
    <row r="781" spans="2:2" x14ac:dyDescent="0.15">
      <c r="B781" s="381">
        <v>774</v>
      </c>
    </row>
    <row r="782" spans="2:2" x14ac:dyDescent="0.15">
      <c r="B782" s="381">
        <v>775</v>
      </c>
    </row>
    <row r="783" spans="2:2" x14ac:dyDescent="0.15">
      <c r="B783" s="381">
        <v>776</v>
      </c>
    </row>
    <row r="784" spans="2:2" x14ac:dyDescent="0.15">
      <c r="B784" s="381">
        <v>777</v>
      </c>
    </row>
    <row r="785" spans="2:2" x14ac:dyDescent="0.15">
      <c r="B785" s="381">
        <v>778</v>
      </c>
    </row>
    <row r="786" spans="2:2" x14ac:dyDescent="0.15">
      <c r="B786" s="381">
        <v>779</v>
      </c>
    </row>
    <row r="787" spans="2:2" x14ac:dyDescent="0.15">
      <c r="B787" s="381">
        <v>780</v>
      </c>
    </row>
    <row r="788" spans="2:2" x14ac:dyDescent="0.15">
      <c r="B788" s="381">
        <v>781</v>
      </c>
    </row>
    <row r="789" spans="2:2" x14ac:dyDescent="0.15">
      <c r="B789" s="381">
        <v>782</v>
      </c>
    </row>
    <row r="790" spans="2:2" x14ac:dyDescent="0.15">
      <c r="B790" s="381">
        <v>783</v>
      </c>
    </row>
    <row r="791" spans="2:2" x14ac:dyDescent="0.15">
      <c r="B791" s="381">
        <v>784</v>
      </c>
    </row>
    <row r="792" spans="2:2" x14ac:dyDescent="0.15">
      <c r="B792" s="381">
        <v>785</v>
      </c>
    </row>
    <row r="793" spans="2:2" x14ac:dyDescent="0.15">
      <c r="B793" s="381">
        <v>786</v>
      </c>
    </row>
    <row r="794" spans="2:2" x14ac:dyDescent="0.15">
      <c r="B794" s="381">
        <v>787</v>
      </c>
    </row>
    <row r="795" spans="2:2" x14ac:dyDescent="0.15">
      <c r="B795" s="381">
        <v>788</v>
      </c>
    </row>
    <row r="796" spans="2:2" x14ac:dyDescent="0.15">
      <c r="B796" s="381">
        <v>789</v>
      </c>
    </row>
    <row r="797" spans="2:2" x14ac:dyDescent="0.15">
      <c r="B797" s="381">
        <v>790</v>
      </c>
    </row>
    <row r="798" spans="2:2" x14ac:dyDescent="0.15">
      <c r="B798" s="381">
        <v>791</v>
      </c>
    </row>
    <row r="799" spans="2:2" x14ac:dyDescent="0.15">
      <c r="B799" s="381">
        <v>792</v>
      </c>
    </row>
    <row r="800" spans="2:2" x14ac:dyDescent="0.15">
      <c r="B800" s="381">
        <v>793</v>
      </c>
    </row>
    <row r="801" spans="2:2" x14ac:dyDescent="0.15">
      <c r="B801" s="381">
        <v>794</v>
      </c>
    </row>
    <row r="802" spans="2:2" x14ac:dyDescent="0.15">
      <c r="B802" s="381">
        <v>795</v>
      </c>
    </row>
    <row r="803" spans="2:2" x14ac:dyDescent="0.15">
      <c r="B803" s="381">
        <v>796</v>
      </c>
    </row>
    <row r="804" spans="2:2" x14ac:dyDescent="0.15">
      <c r="B804" s="381">
        <v>797</v>
      </c>
    </row>
    <row r="805" spans="2:2" x14ac:dyDescent="0.15">
      <c r="B805" s="381">
        <v>798</v>
      </c>
    </row>
    <row r="806" spans="2:2" x14ac:dyDescent="0.15">
      <c r="B806" s="381">
        <v>799</v>
      </c>
    </row>
    <row r="807" spans="2:2" x14ac:dyDescent="0.15">
      <c r="B807" s="381">
        <v>800</v>
      </c>
    </row>
    <row r="808" spans="2:2" x14ac:dyDescent="0.15">
      <c r="B808" s="381">
        <v>801</v>
      </c>
    </row>
    <row r="809" spans="2:2" x14ac:dyDescent="0.15">
      <c r="B809" s="381">
        <v>802</v>
      </c>
    </row>
    <row r="810" spans="2:2" x14ac:dyDescent="0.15">
      <c r="B810" s="381">
        <v>803</v>
      </c>
    </row>
    <row r="811" spans="2:2" x14ac:dyDescent="0.15">
      <c r="B811" s="381">
        <v>804</v>
      </c>
    </row>
    <row r="812" spans="2:2" x14ac:dyDescent="0.15">
      <c r="B812" s="381">
        <v>805</v>
      </c>
    </row>
    <row r="813" spans="2:2" x14ac:dyDescent="0.15">
      <c r="B813" s="381">
        <v>806</v>
      </c>
    </row>
    <row r="814" spans="2:2" x14ac:dyDescent="0.15">
      <c r="B814" s="381">
        <v>807</v>
      </c>
    </row>
    <row r="815" spans="2:2" x14ac:dyDescent="0.15">
      <c r="B815" s="381">
        <v>808</v>
      </c>
    </row>
    <row r="816" spans="2:2" x14ac:dyDescent="0.15">
      <c r="B816" s="381">
        <v>809</v>
      </c>
    </row>
    <row r="817" spans="2:2" x14ac:dyDescent="0.15">
      <c r="B817" s="381">
        <v>810</v>
      </c>
    </row>
    <row r="818" spans="2:2" x14ac:dyDescent="0.15">
      <c r="B818" s="381">
        <v>811</v>
      </c>
    </row>
    <row r="819" spans="2:2" x14ac:dyDescent="0.15">
      <c r="B819" s="381">
        <v>812</v>
      </c>
    </row>
    <row r="820" spans="2:2" x14ac:dyDescent="0.15">
      <c r="B820" s="381">
        <v>813</v>
      </c>
    </row>
    <row r="821" spans="2:2" x14ac:dyDescent="0.15">
      <c r="B821" s="381">
        <v>814</v>
      </c>
    </row>
    <row r="822" spans="2:2" x14ac:dyDescent="0.15">
      <c r="B822" s="381">
        <v>815</v>
      </c>
    </row>
    <row r="823" spans="2:2" x14ac:dyDescent="0.15">
      <c r="B823" s="381">
        <v>816</v>
      </c>
    </row>
    <row r="824" spans="2:2" x14ac:dyDescent="0.15">
      <c r="B824" s="381">
        <v>817</v>
      </c>
    </row>
    <row r="825" spans="2:2" x14ac:dyDescent="0.15">
      <c r="B825" s="381">
        <v>818</v>
      </c>
    </row>
    <row r="826" spans="2:2" x14ac:dyDescent="0.15">
      <c r="B826" s="381">
        <v>819</v>
      </c>
    </row>
    <row r="827" spans="2:2" x14ac:dyDescent="0.15">
      <c r="B827" s="381">
        <v>820</v>
      </c>
    </row>
    <row r="828" spans="2:2" x14ac:dyDescent="0.15">
      <c r="B828" s="381">
        <v>821</v>
      </c>
    </row>
    <row r="829" spans="2:2" x14ac:dyDescent="0.15">
      <c r="B829" s="381">
        <v>822</v>
      </c>
    </row>
    <row r="830" spans="2:2" x14ac:dyDescent="0.15">
      <c r="B830" s="381">
        <v>823</v>
      </c>
    </row>
    <row r="831" spans="2:2" x14ac:dyDescent="0.15">
      <c r="B831" s="381">
        <v>824</v>
      </c>
    </row>
    <row r="832" spans="2:2" x14ac:dyDescent="0.15">
      <c r="B832" s="381">
        <v>825</v>
      </c>
    </row>
    <row r="833" spans="2:2" x14ac:dyDescent="0.15">
      <c r="B833" s="381">
        <v>826</v>
      </c>
    </row>
    <row r="834" spans="2:2" x14ac:dyDescent="0.15">
      <c r="B834" s="381">
        <v>827</v>
      </c>
    </row>
    <row r="835" spans="2:2" x14ac:dyDescent="0.15">
      <c r="B835" s="381">
        <v>828</v>
      </c>
    </row>
    <row r="836" spans="2:2" x14ac:dyDescent="0.15">
      <c r="B836" s="381">
        <v>829</v>
      </c>
    </row>
    <row r="837" spans="2:2" x14ac:dyDescent="0.15">
      <c r="B837" s="381">
        <v>830</v>
      </c>
    </row>
    <row r="838" spans="2:2" x14ac:dyDescent="0.15">
      <c r="B838" s="381">
        <v>831</v>
      </c>
    </row>
    <row r="839" spans="2:2" x14ac:dyDescent="0.15">
      <c r="B839" s="381">
        <v>832</v>
      </c>
    </row>
    <row r="840" spans="2:2" x14ac:dyDescent="0.15">
      <c r="B840" s="381">
        <v>833</v>
      </c>
    </row>
    <row r="841" spans="2:2" x14ac:dyDescent="0.15">
      <c r="B841" s="381">
        <v>834</v>
      </c>
    </row>
    <row r="842" spans="2:2" x14ac:dyDescent="0.15">
      <c r="B842" s="381">
        <v>835</v>
      </c>
    </row>
    <row r="843" spans="2:2" x14ac:dyDescent="0.15">
      <c r="B843" s="381">
        <v>836</v>
      </c>
    </row>
    <row r="844" spans="2:2" x14ac:dyDescent="0.15">
      <c r="B844" s="381">
        <v>837</v>
      </c>
    </row>
    <row r="845" spans="2:2" x14ac:dyDescent="0.15">
      <c r="B845" s="381">
        <v>838</v>
      </c>
    </row>
    <row r="846" spans="2:2" x14ac:dyDescent="0.15">
      <c r="B846" s="381">
        <v>839</v>
      </c>
    </row>
    <row r="847" spans="2:2" x14ac:dyDescent="0.15">
      <c r="B847" s="381">
        <v>840</v>
      </c>
    </row>
    <row r="848" spans="2:2" x14ac:dyDescent="0.15">
      <c r="B848" s="381">
        <v>841</v>
      </c>
    </row>
    <row r="849" spans="2:2" x14ac:dyDescent="0.15">
      <c r="B849" s="381">
        <v>842</v>
      </c>
    </row>
    <row r="850" spans="2:2" x14ac:dyDescent="0.15">
      <c r="B850" s="381">
        <v>843</v>
      </c>
    </row>
    <row r="851" spans="2:2" x14ac:dyDescent="0.15">
      <c r="B851" s="381">
        <v>844</v>
      </c>
    </row>
    <row r="852" spans="2:2" x14ac:dyDescent="0.15">
      <c r="B852" s="381">
        <v>845</v>
      </c>
    </row>
    <row r="853" spans="2:2" x14ac:dyDescent="0.15">
      <c r="B853" s="381">
        <v>846</v>
      </c>
    </row>
    <row r="854" spans="2:2" x14ac:dyDescent="0.15">
      <c r="B854" s="381">
        <v>847</v>
      </c>
    </row>
    <row r="855" spans="2:2" x14ac:dyDescent="0.15">
      <c r="B855" s="381">
        <v>848</v>
      </c>
    </row>
    <row r="856" spans="2:2" x14ac:dyDescent="0.15">
      <c r="B856" s="381">
        <v>849</v>
      </c>
    </row>
    <row r="857" spans="2:2" x14ac:dyDescent="0.15">
      <c r="B857" s="381">
        <v>850</v>
      </c>
    </row>
    <row r="858" spans="2:2" x14ac:dyDescent="0.15">
      <c r="B858" s="381">
        <v>851</v>
      </c>
    </row>
    <row r="859" spans="2:2" x14ac:dyDescent="0.15">
      <c r="B859" s="381">
        <v>852</v>
      </c>
    </row>
    <row r="860" spans="2:2" x14ac:dyDescent="0.15">
      <c r="B860" s="381">
        <v>853</v>
      </c>
    </row>
    <row r="861" spans="2:2" x14ac:dyDescent="0.15">
      <c r="B861" s="381">
        <v>854</v>
      </c>
    </row>
    <row r="862" spans="2:2" x14ac:dyDescent="0.15">
      <c r="B862" s="381">
        <v>855</v>
      </c>
    </row>
    <row r="863" spans="2:2" x14ac:dyDescent="0.15">
      <c r="B863" s="381">
        <v>856</v>
      </c>
    </row>
    <row r="864" spans="2:2" x14ac:dyDescent="0.15">
      <c r="B864" s="381">
        <v>857</v>
      </c>
    </row>
    <row r="865" spans="2:2" x14ac:dyDescent="0.15">
      <c r="B865" s="381">
        <v>858</v>
      </c>
    </row>
    <row r="866" spans="2:2" x14ac:dyDescent="0.15">
      <c r="B866" s="381">
        <v>859</v>
      </c>
    </row>
    <row r="867" spans="2:2" x14ac:dyDescent="0.15">
      <c r="B867" s="381">
        <v>860</v>
      </c>
    </row>
    <row r="868" spans="2:2" x14ac:dyDescent="0.15">
      <c r="B868" s="381">
        <v>861</v>
      </c>
    </row>
    <row r="869" spans="2:2" x14ac:dyDescent="0.15">
      <c r="B869" s="381">
        <v>862</v>
      </c>
    </row>
    <row r="870" spans="2:2" x14ac:dyDescent="0.15">
      <c r="B870" s="381">
        <v>863</v>
      </c>
    </row>
    <row r="871" spans="2:2" x14ac:dyDescent="0.15">
      <c r="B871" s="381">
        <v>864</v>
      </c>
    </row>
    <row r="872" spans="2:2" x14ac:dyDescent="0.15">
      <c r="B872" s="381">
        <v>865</v>
      </c>
    </row>
    <row r="873" spans="2:2" x14ac:dyDescent="0.15">
      <c r="B873" s="381">
        <v>866</v>
      </c>
    </row>
    <row r="874" spans="2:2" x14ac:dyDescent="0.15">
      <c r="B874" s="381">
        <v>867</v>
      </c>
    </row>
    <row r="875" spans="2:2" x14ac:dyDescent="0.15">
      <c r="B875" s="381">
        <v>868</v>
      </c>
    </row>
    <row r="876" spans="2:2" x14ac:dyDescent="0.15">
      <c r="B876" s="381">
        <v>869</v>
      </c>
    </row>
    <row r="877" spans="2:2" x14ac:dyDescent="0.15">
      <c r="B877" s="381">
        <v>870</v>
      </c>
    </row>
    <row r="878" spans="2:2" x14ac:dyDescent="0.15">
      <c r="B878" s="381">
        <v>871</v>
      </c>
    </row>
    <row r="879" spans="2:2" x14ac:dyDescent="0.15">
      <c r="B879" s="381">
        <v>872</v>
      </c>
    </row>
    <row r="880" spans="2:2" x14ac:dyDescent="0.15">
      <c r="B880" s="381">
        <v>873</v>
      </c>
    </row>
    <row r="881" spans="2:2" x14ac:dyDescent="0.15">
      <c r="B881" s="381">
        <v>874</v>
      </c>
    </row>
    <row r="882" spans="2:2" x14ac:dyDescent="0.15">
      <c r="B882" s="381">
        <v>875</v>
      </c>
    </row>
    <row r="883" spans="2:2" x14ac:dyDescent="0.15">
      <c r="B883" s="381">
        <v>876</v>
      </c>
    </row>
    <row r="884" spans="2:2" x14ac:dyDescent="0.15">
      <c r="B884" s="381">
        <v>877</v>
      </c>
    </row>
    <row r="885" spans="2:2" x14ac:dyDescent="0.15">
      <c r="B885" s="381">
        <v>878</v>
      </c>
    </row>
    <row r="886" spans="2:2" x14ac:dyDescent="0.15">
      <c r="B886" s="381">
        <v>879</v>
      </c>
    </row>
    <row r="887" spans="2:2" x14ac:dyDescent="0.15">
      <c r="B887" s="381">
        <v>880</v>
      </c>
    </row>
    <row r="888" spans="2:2" x14ac:dyDescent="0.15">
      <c r="B888" s="381">
        <v>881</v>
      </c>
    </row>
    <row r="889" spans="2:2" x14ac:dyDescent="0.15">
      <c r="B889" s="381">
        <v>882</v>
      </c>
    </row>
    <row r="890" spans="2:2" x14ac:dyDescent="0.15">
      <c r="B890" s="381">
        <v>883</v>
      </c>
    </row>
    <row r="891" spans="2:2" x14ac:dyDescent="0.15">
      <c r="B891" s="381">
        <v>884</v>
      </c>
    </row>
    <row r="892" spans="2:2" x14ac:dyDescent="0.15">
      <c r="B892" s="381">
        <v>885</v>
      </c>
    </row>
    <row r="893" spans="2:2" x14ac:dyDescent="0.15">
      <c r="B893" s="381">
        <v>886</v>
      </c>
    </row>
    <row r="894" spans="2:2" x14ac:dyDescent="0.15">
      <c r="B894" s="381">
        <v>887</v>
      </c>
    </row>
    <row r="895" spans="2:2" x14ac:dyDescent="0.15">
      <c r="B895" s="381">
        <v>888</v>
      </c>
    </row>
    <row r="896" spans="2:2" x14ac:dyDescent="0.15">
      <c r="B896" s="381">
        <v>889</v>
      </c>
    </row>
    <row r="897" spans="2:2" x14ac:dyDescent="0.15">
      <c r="B897" s="381">
        <v>890</v>
      </c>
    </row>
    <row r="898" spans="2:2" x14ac:dyDescent="0.15">
      <c r="B898" s="381">
        <v>891</v>
      </c>
    </row>
    <row r="899" spans="2:2" x14ac:dyDescent="0.15">
      <c r="B899" s="381">
        <v>892</v>
      </c>
    </row>
    <row r="900" spans="2:2" x14ac:dyDescent="0.15">
      <c r="B900" s="381">
        <v>893</v>
      </c>
    </row>
    <row r="901" spans="2:2" x14ac:dyDescent="0.15">
      <c r="B901" s="381">
        <v>894</v>
      </c>
    </row>
    <row r="902" spans="2:2" x14ac:dyDescent="0.15">
      <c r="B902" s="381">
        <v>895</v>
      </c>
    </row>
    <row r="903" spans="2:2" x14ac:dyDescent="0.15">
      <c r="B903" s="381">
        <v>896</v>
      </c>
    </row>
    <row r="904" spans="2:2" x14ac:dyDescent="0.15">
      <c r="B904" s="381">
        <v>897</v>
      </c>
    </row>
    <row r="905" spans="2:2" x14ac:dyDescent="0.15">
      <c r="B905" s="381">
        <v>898</v>
      </c>
    </row>
    <row r="906" spans="2:2" x14ac:dyDescent="0.15">
      <c r="B906" s="381">
        <v>899</v>
      </c>
    </row>
    <row r="907" spans="2:2" x14ac:dyDescent="0.15">
      <c r="B907" s="381">
        <v>900</v>
      </c>
    </row>
    <row r="908" spans="2:2" x14ac:dyDescent="0.15">
      <c r="B908" s="381">
        <v>901</v>
      </c>
    </row>
    <row r="909" spans="2:2" x14ac:dyDescent="0.15">
      <c r="B909" s="381">
        <v>902</v>
      </c>
    </row>
    <row r="910" spans="2:2" x14ac:dyDescent="0.15">
      <c r="B910" s="381">
        <v>903</v>
      </c>
    </row>
    <row r="911" spans="2:2" x14ac:dyDescent="0.15">
      <c r="B911" s="381">
        <v>904</v>
      </c>
    </row>
    <row r="912" spans="2:2" x14ac:dyDescent="0.15">
      <c r="B912" s="381">
        <v>905</v>
      </c>
    </row>
    <row r="913" spans="2:2" x14ac:dyDescent="0.15">
      <c r="B913" s="381">
        <v>906</v>
      </c>
    </row>
    <row r="914" spans="2:2" x14ac:dyDescent="0.15">
      <c r="B914" s="381">
        <v>907</v>
      </c>
    </row>
    <row r="915" spans="2:2" x14ac:dyDescent="0.15">
      <c r="B915" s="381">
        <v>908</v>
      </c>
    </row>
    <row r="916" spans="2:2" x14ac:dyDescent="0.15">
      <c r="B916" s="381">
        <v>909</v>
      </c>
    </row>
    <row r="917" spans="2:2" x14ac:dyDescent="0.15">
      <c r="B917" s="381">
        <v>910</v>
      </c>
    </row>
    <row r="918" spans="2:2" x14ac:dyDescent="0.15">
      <c r="B918" s="381">
        <v>911</v>
      </c>
    </row>
    <row r="919" spans="2:2" x14ac:dyDescent="0.15">
      <c r="B919" s="381">
        <v>912</v>
      </c>
    </row>
    <row r="920" spans="2:2" x14ac:dyDescent="0.15">
      <c r="B920" s="381">
        <v>913</v>
      </c>
    </row>
    <row r="921" spans="2:2" x14ac:dyDescent="0.15">
      <c r="B921" s="381">
        <v>914</v>
      </c>
    </row>
    <row r="922" spans="2:2" x14ac:dyDescent="0.15">
      <c r="B922" s="381">
        <v>915</v>
      </c>
    </row>
    <row r="923" spans="2:2" x14ac:dyDescent="0.15">
      <c r="B923" s="381">
        <v>916</v>
      </c>
    </row>
    <row r="924" spans="2:2" x14ac:dyDescent="0.15">
      <c r="B924" s="381">
        <v>917</v>
      </c>
    </row>
    <row r="925" spans="2:2" x14ac:dyDescent="0.15">
      <c r="B925" s="381">
        <v>918</v>
      </c>
    </row>
    <row r="926" spans="2:2" x14ac:dyDescent="0.15">
      <c r="B926" s="381">
        <v>919</v>
      </c>
    </row>
    <row r="927" spans="2:2" x14ac:dyDescent="0.15">
      <c r="B927" s="381">
        <v>920</v>
      </c>
    </row>
    <row r="928" spans="2:2" x14ac:dyDescent="0.15">
      <c r="B928" s="381">
        <v>921</v>
      </c>
    </row>
    <row r="929" spans="2:2" x14ac:dyDescent="0.15">
      <c r="B929" s="381">
        <v>922</v>
      </c>
    </row>
    <row r="930" spans="2:2" x14ac:dyDescent="0.15">
      <c r="B930" s="381">
        <v>923</v>
      </c>
    </row>
    <row r="931" spans="2:2" x14ac:dyDescent="0.15">
      <c r="B931" s="381">
        <v>924</v>
      </c>
    </row>
    <row r="932" spans="2:2" x14ac:dyDescent="0.15">
      <c r="B932" s="381">
        <v>925</v>
      </c>
    </row>
    <row r="933" spans="2:2" x14ac:dyDescent="0.15">
      <c r="B933" s="381">
        <v>926</v>
      </c>
    </row>
    <row r="934" spans="2:2" x14ac:dyDescent="0.15">
      <c r="B934" s="381">
        <v>927</v>
      </c>
    </row>
    <row r="935" spans="2:2" x14ac:dyDescent="0.15">
      <c r="B935" s="381">
        <v>928</v>
      </c>
    </row>
    <row r="936" spans="2:2" x14ac:dyDescent="0.15">
      <c r="B936" s="381">
        <v>929</v>
      </c>
    </row>
    <row r="937" spans="2:2" x14ac:dyDescent="0.15">
      <c r="B937" s="381">
        <v>930</v>
      </c>
    </row>
    <row r="938" spans="2:2" x14ac:dyDescent="0.15">
      <c r="B938" s="381">
        <v>931</v>
      </c>
    </row>
    <row r="939" spans="2:2" x14ac:dyDescent="0.15">
      <c r="B939" s="381">
        <v>932</v>
      </c>
    </row>
    <row r="940" spans="2:2" x14ac:dyDescent="0.15">
      <c r="B940" s="381">
        <v>933</v>
      </c>
    </row>
    <row r="941" spans="2:2" x14ac:dyDescent="0.15">
      <c r="B941" s="381">
        <v>934</v>
      </c>
    </row>
    <row r="942" spans="2:2" x14ac:dyDescent="0.15">
      <c r="B942" s="381">
        <v>935</v>
      </c>
    </row>
    <row r="943" spans="2:2" x14ac:dyDescent="0.15">
      <c r="B943" s="381">
        <v>936</v>
      </c>
    </row>
    <row r="944" spans="2:2" x14ac:dyDescent="0.15">
      <c r="B944" s="381">
        <v>937</v>
      </c>
    </row>
    <row r="945" spans="2:2" x14ac:dyDescent="0.15">
      <c r="B945" s="381">
        <v>938</v>
      </c>
    </row>
    <row r="946" spans="2:2" x14ac:dyDescent="0.15">
      <c r="B946" s="381">
        <v>939</v>
      </c>
    </row>
    <row r="947" spans="2:2" x14ac:dyDescent="0.15">
      <c r="B947" s="381">
        <v>940</v>
      </c>
    </row>
    <row r="948" spans="2:2" x14ac:dyDescent="0.15">
      <c r="B948" s="381">
        <v>941</v>
      </c>
    </row>
    <row r="949" spans="2:2" x14ac:dyDescent="0.15">
      <c r="B949" s="381">
        <v>942</v>
      </c>
    </row>
    <row r="950" spans="2:2" x14ac:dyDescent="0.15">
      <c r="B950" s="381">
        <v>943</v>
      </c>
    </row>
    <row r="951" spans="2:2" x14ac:dyDescent="0.15">
      <c r="B951" s="381">
        <v>944</v>
      </c>
    </row>
    <row r="952" spans="2:2" x14ac:dyDescent="0.15">
      <c r="B952" s="381">
        <v>945</v>
      </c>
    </row>
    <row r="953" spans="2:2" x14ac:dyDescent="0.15">
      <c r="B953" s="381">
        <v>946</v>
      </c>
    </row>
    <row r="954" spans="2:2" x14ac:dyDescent="0.15">
      <c r="B954" s="381">
        <v>947</v>
      </c>
    </row>
    <row r="955" spans="2:2" x14ac:dyDescent="0.15">
      <c r="B955" s="381">
        <v>948</v>
      </c>
    </row>
    <row r="956" spans="2:2" x14ac:dyDescent="0.15">
      <c r="B956" s="381">
        <v>949</v>
      </c>
    </row>
    <row r="957" spans="2:2" x14ac:dyDescent="0.15">
      <c r="B957" s="381">
        <v>950</v>
      </c>
    </row>
    <row r="958" spans="2:2" x14ac:dyDescent="0.15">
      <c r="B958" s="381">
        <v>951</v>
      </c>
    </row>
    <row r="959" spans="2:2" x14ac:dyDescent="0.15">
      <c r="B959" s="381">
        <v>952</v>
      </c>
    </row>
    <row r="960" spans="2:2" x14ac:dyDescent="0.15">
      <c r="B960" s="381">
        <v>953</v>
      </c>
    </row>
    <row r="961" spans="2:2" x14ac:dyDescent="0.15">
      <c r="B961" s="381">
        <v>954</v>
      </c>
    </row>
    <row r="962" spans="2:2" x14ac:dyDescent="0.15">
      <c r="B962" s="381">
        <v>955</v>
      </c>
    </row>
    <row r="963" spans="2:2" x14ac:dyDescent="0.15">
      <c r="B963" s="381">
        <v>956</v>
      </c>
    </row>
    <row r="964" spans="2:2" x14ac:dyDescent="0.15">
      <c r="B964" s="381">
        <v>957</v>
      </c>
    </row>
    <row r="965" spans="2:2" x14ac:dyDescent="0.15">
      <c r="B965" s="381">
        <v>958</v>
      </c>
    </row>
    <row r="966" spans="2:2" x14ac:dyDescent="0.15">
      <c r="B966" s="381">
        <v>959</v>
      </c>
    </row>
    <row r="967" spans="2:2" x14ac:dyDescent="0.15">
      <c r="B967" s="381">
        <v>960</v>
      </c>
    </row>
    <row r="968" spans="2:2" x14ac:dyDescent="0.15">
      <c r="B968" s="381">
        <v>961</v>
      </c>
    </row>
    <row r="969" spans="2:2" x14ac:dyDescent="0.15">
      <c r="B969" s="381">
        <v>962</v>
      </c>
    </row>
    <row r="970" spans="2:2" x14ac:dyDescent="0.15">
      <c r="B970" s="381">
        <v>963</v>
      </c>
    </row>
    <row r="971" spans="2:2" x14ac:dyDescent="0.15">
      <c r="B971" s="381">
        <v>964</v>
      </c>
    </row>
    <row r="972" spans="2:2" x14ac:dyDescent="0.15">
      <c r="B972" s="381">
        <v>965</v>
      </c>
    </row>
    <row r="973" spans="2:2" x14ac:dyDescent="0.15">
      <c r="B973" s="381">
        <v>966</v>
      </c>
    </row>
    <row r="974" spans="2:2" x14ac:dyDescent="0.15">
      <c r="B974" s="381">
        <v>967</v>
      </c>
    </row>
    <row r="975" spans="2:2" x14ac:dyDescent="0.15">
      <c r="B975" s="381">
        <v>968</v>
      </c>
    </row>
    <row r="976" spans="2:2" x14ac:dyDescent="0.15">
      <c r="B976" s="381">
        <v>969</v>
      </c>
    </row>
    <row r="977" spans="2:2" x14ac:dyDescent="0.15">
      <c r="B977" s="381">
        <v>970</v>
      </c>
    </row>
    <row r="978" spans="2:2" x14ac:dyDescent="0.15">
      <c r="B978" s="381">
        <v>971</v>
      </c>
    </row>
    <row r="979" spans="2:2" x14ac:dyDescent="0.15">
      <c r="B979" s="381">
        <v>972</v>
      </c>
    </row>
    <row r="980" spans="2:2" x14ac:dyDescent="0.15">
      <c r="B980" s="381">
        <v>973</v>
      </c>
    </row>
    <row r="981" spans="2:2" x14ac:dyDescent="0.15">
      <c r="B981" s="381">
        <v>974</v>
      </c>
    </row>
    <row r="982" spans="2:2" x14ac:dyDescent="0.15">
      <c r="B982" s="381">
        <v>975</v>
      </c>
    </row>
    <row r="983" spans="2:2" x14ac:dyDescent="0.15">
      <c r="B983" s="381">
        <v>976</v>
      </c>
    </row>
    <row r="984" spans="2:2" x14ac:dyDescent="0.15">
      <c r="B984" s="381">
        <v>977</v>
      </c>
    </row>
    <row r="985" spans="2:2" x14ac:dyDescent="0.15">
      <c r="B985" s="381">
        <v>978</v>
      </c>
    </row>
    <row r="986" spans="2:2" x14ac:dyDescent="0.15">
      <c r="B986" s="381">
        <v>979</v>
      </c>
    </row>
    <row r="987" spans="2:2" x14ac:dyDescent="0.15">
      <c r="B987" s="381">
        <v>980</v>
      </c>
    </row>
    <row r="988" spans="2:2" x14ac:dyDescent="0.15">
      <c r="B988" s="381">
        <v>981</v>
      </c>
    </row>
    <row r="989" spans="2:2" x14ac:dyDescent="0.15">
      <c r="B989" s="381">
        <v>982</v>
      </c>
    </row>
    <row r="990" spans="2:2" x14ac:dyDescent="0.15">
      <c r="B990" s="381">
        <v>983</v>
      </c>
    </row>
    <row r="991" spans="2:2" x14ac:dyDescent="0.15">
      <c r="B991" s="381">
        <v>984</v>
      </c>
    </row>
    <row r="992" spans="2:2" x14ac:dyDescent="0.15">
      <c r="B992" s="381">
        <v>985</v>
      </c>
    </row>
    <row r="993" spans="2:2" x14ac:dyDescent="0.15">
      <c r="B993" s="381">
        <v>986</v>
      </c>
    </row>
    <row r="994" spans="2:2" x14ac:dyDescent="0.15">
      <c r="B994" s="381">
        <v>987</v>
      </c>
    </row>
    <row r="995" spans="2:2" x14ac:dyDescent="0.15">
      <c r="B995" s="381">
        <v>988</v>
      </c>
    </row>
    <row r="996" spans="2:2" x14ac:dyDescent="0.15">
      <c r="B996" s="381">
        <v>989</v>
      </c>
    </row>
    <row r="997" spans="2:2" x14ac:dyDescent="0.15">
      <c r="B997" s="381">
        <v>990</v>
      </c>
    </row>
    <row r="998" spans="2:2" x14ac:dyDescent="0.15">
      <c r="B998" s="381">
        <v>991</v>
      </c>
    </row>
    <row r="999" spans="2:2" x14ac:dyDescent="0.15">
      <c r="B999" s="381">
        <v>992</v>
      </c>
    </row>
    <row r="1000" spans="2:2" x14ac:dyDescent="0.15">
      <c r="B1000" s="381">
        <v>993</v>
      </c>
    </row>
    <row r="1001" spans="2:2" x14ac:dyDescent="0.15">
      <c r="B1001" s="381">
        <v>994</v>
      </c>
    </row>
    <row r="1002" spans="2:2" x14ac:dyDescent="0.15">
      <c r="B1002" s="381">
        <v>995</v>
      </c>
    </row>
    <row r="1003" spans="2:2" x14ac:dyDescent="0.15">
      <c r="B1003" s="381">
        <v>996</v>
      </c>
    </row>
    <row r="1004" spans="2:2" x14ac:dyDescent="0.15">
      <c r="B1004" s="381">
        <v>997</v>
      </c>
    </row>
    <row r="1005" spans="2:2" x14ac:dyDescent="0.15">
      <c r="B1005" s="381">
        <v>998</v>
      </c>
    </row>
    <row r="1006" spans="2:2" x14ac:dyDescent="0.15">
      <c r="B1006" s="381">
        <v>999</v>
      </c>
    </row>
    <row r="1007" spans="2:2" x14ac:dyDescent="0.15">
      <c r="B1007" s="381">
        <v>1000</v>
      </c>
    </row>
  </sheetData>
  <mergeCells count="3">
    <mergeCell ref="C5:D5"/>
    <mergeCell ref="E5:F5"/>
    <mergeCell ref="G5:H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B0F0E4-788F-47B0-BF31-FDD81C26053A}">
  <dimension ref="A3:AP53"/>
  <sheetViews>
    <sheetView tabSelected="1" topLeftCell="A5" workbookViewId="0">
      <selection activeCell="B19" sqref="B19"/>
    </sheetView>
  </sheetViews>
  <sheetFormatPr baseColWidth="10" defaultColWidth="8.83203125" defaultRowHeight="15" x14ac:dyDescent="0.2"/>
  <cols>
    <col min="1" max="1" width="27.1640625" customWidth="1"/>
    <col min="2" max="2" width="12.1640625" customWidth="1"/>
    <col min="3" max="3" width="13.1640625" customWidth="1"/>
    <col min="4" max="4" width="14.1640625" customWidth="1"/>
    <col min="5" max="5" width="12.5" customWidth="1"/>
    <col min="6" max="6" width="5.5" customWidth="1"/>
    <col min="7" max="7" width="16.83203125" customWidth="1"/>
    <col min="8" max="8" width="12" customWidth="1"/>
    <col min="9" max="9" width="10.5" customWidth="1"/>
    <col min="10" max="10" width="10.83203125" customWidth="1"/>
    <col min="11" max="11" width="11.83203125" customWidth="1"/>
    <col min="12" max="12" width="5.5" customWidth="1"/>
    <col min="13" max="13" width="22.1640625" customWidth="1"/>
    <col min="14" max="14" width="48" customWidth="1"/>
    <col min="15" max="15" width="9.1640625" customWidth="1"/>
    <col min="16" max="16" width="24.5" customWidth="1"/>
    <col min="19" max="19" width="15.83203125" customWidth="1"/>
    <col min="20" max="20" width="10.1640625" customWidth="1"/>
    <col min="21" max="21" width="1.5" customWidth="1"/>
    <col min="22" max="22" width="10.1640625" customWidth="1"/>
    <col min="23" max="23" width="9" customWidth="1"/>
    <col min="24" max="24" width="11.83203125" customWidth="1"/>
    <col min="25" max="25" width="11.5" customWidth="1"/>
    <col min="26" max="26" width="1.83203125" customWidth="1"/>
    <col min="27" max="31" width="11.5" customWidth="1"/>
    <col min="32" max="32" width="1.83203125" customWidth="1"/>
    <col min="33" max="33" width="11.5" customWidth="1"/>
    <col min="35" max="35" width="1.83203125" customWidth="1"/>
    <col min="36" max="36" width="16.5" customWidth="1"/>
    <col min="37" max="37" width="2.1640625" customWidth="1"/>
    <col min="38" max="38" width="9.5" customWidth="1"/>
  </cols>
  <sheetData>
    <row r="3" spans="1:42" ht="18" customHeight="1" x14ac:dyDescent="0.2">
      <c r="M3" s="183" t="s">
        <v>556</v>
      </c>
      <c r="N3" s="122"/>
      <c r="O3" s="122"/>
      <c r="P3" s="123"/>
    </row>
    <row r="4" spans="1:42" ht="18.75" customHeight="1" x14ac:dyDescent="0.2">
      <c r="A4" s="183" t="s">
        <v>530</v>
      </c>
      <c r="B4" s="122"/>
      <c r="C4" s="122"/>
      <c r="D4" s="122"/>
      <c r="E4" s="123"/>
      <c r="G4" s="183" t="s">
        <v>816</v>
      </c>
      <c r="H4" s="122"/>
      <c r="I4" s="122"/>
      <c r="J4" s="122"/>
      <c r="K4" s="123"/>
      <c r="M4" s="230" t="s">
        <v>551</v>
      </c>
      <c r="N4" s="257" t="s">
        <v>552</v>
      </c>
      <c r="O4" s="257" t="s">
        <v>553</v>
      </c>
      <c r="P4" s="231" t="s">
        <v>554</v>
      </c>
      <c r="S4" s="155" t="s">
        <v>657</v>
      </c>
      <c r="T4" s="163"/>
      <c r="V4" s="613" t="s">
        <v>587</v>
      </c>
      <c r="W4" s="615"/>
      <c r="X4" s="615"/>
      <c r="Y4" s="615"/>
      <c r="Z4" s="164"/>
      <c r="AA4" s="616" t="s">
        <v>588</v>
      </c>
      <c r="AB4" s="616"/>
      <c r="AC4" s="616"/>
      <c r="AD4" s="616"/>
      <c r="AE4" s="616"/>
      <c r="AG4" s="613" t="s">
        <v>590</v>
      </c>
      <c r="AH4" s="614"/>
      <c r="AJ4" s="348" t="s">
        <v>386</v>
      </c>
      <c r="AK4" s="164"/>
      <c r="AL4" s="613" t="s">
        <v>1095</v>
      </c>
      <c r="AM4" s="615"/>
      <c r="AN4" s="615"/>
      <c r="AO4" s="615"/>
      <c r="AP4" s="614"/>
    </row>
    <row r="5" spans="1:42" ht="48" x14ac:dyDescent="0.2">
      <c r="A5" s="229" t="s">
        <v>515</v>
      </c>
      <c r="B5" s="146" t="s">
        <v>516</v>
      </c>
      <c r="C5" s="146" t="s">
        <v>517</v>
      </c>
      <c r="D5" s="146" t="s">
        <v>518</v>
      </c>
      <c r="E5" s="148" t="s">
        <v>559</v>
      </c>
      <c r="G5" s="139" t="s">
        <v>515</v>
      </c>
      <c r="H5" s="136" t="s">
        <v>557</v>
      </c>
      <c r="I5" s="136" t="s">
        <v>529</v>
      </c>
      <c r="J5" s="136" t="s">
        <v>531</v>
      </c>
      <c r="K5" s="137" t="s">
        <v>558</v>
      </c>
      <c r="M5" s="131"/>
      <c r="N5" s="257" t="s">
        <v>533</v>
      </c>
      <c r="P5" s="125"/>
      <c r="S5" s="147" t="s">
        <v>20</v>
      </c>
      <c r="T5" s="148" t="s">
        <v>569</v>
      </c>
      <c r="U5" s="146"/>
      <c r="V5" s="147" t="s">
        <v>579</v>
      </c>
      <c r="W5" s="146" t="s">
        <v>348</v>
      </c>
      <c r="X5" s="146" t="s">
        <v>580</v>
      </c>
      <c r="Y5" s="148" t="s">
        <v>581</v>
      </c>
      <c r="Z5" s="146"/>
      <c r="AA5" s="146" t="s">
        <v>582</v>
      </c>
      <c r="AB5" s="146" t="s">
        <v>583</v>
      </c>
      <c r="AC5" s="133" t="s">
        <v>584</v>
      </c>
      <c r="AD5" s="133" t="s">
        <v>585</v>
      </c>
      <c r="AE5" s="133" t="s">
        <v>586</v>
      </c>
      <c r="AF5" s="81"/>
      <c r="AG5" s="154" t="s">
        <v>589</v>
      </c>
      <c r="AH5" s="150" t="s">
        <v>385</v>
      </c>
      <c r="AJ5" s="349" t="s">
        <v>1094</v>
      </c>
      <c r="AL5" s="124" t="s">
        <v>1100</v>
      </c>
      <c r="AM5" t="s">
        <v>1096</v>
      </c>
      <c r="AN5" t="s">
        <v>1097</v>
      </c>
      <c r="AO5" t="s">
        <v>1098</v>
      </c>
      <c r="AP5" s="125" t="s">
        <v>1099</v>
      </c>
    </row>
    <row r="6" spans="1:42" x14ac:dyDescent="0.2">
      <c r="A6" s="126" t="s">
        <v>519</v>
      </c>
      <c r="B6" s="75" t="s">
        <v>520</v>
      </c>
      <c r="C6" s="75">
        <v>28</v>
      </c>
      <c r="D6" s="75">
        <v>0.72</v>
      </c>
      <c r="E6" s="127">
        <f>D6/C6</f>
        <v>2.5714285714285714E-2</v>
      </c>
      <c r="G6" s="135" t="s">
        <v>519</v>
      </c>
      <c r="H6" s="3" t="s">
        <v>524</v>
      </c>
      <c r="I6" s="3" t="s">
        <v>524</v>
      </c>
      <c r="J6" s="3" t="s">
        <v>520</v>
      </c>
      <c r="K6" s="182">
        <f>E6</f>
        <v>2.5714285714285714E-2</v>
      </c>
      <c r="M6" s="132" t="s">
        <v>534</v>
      </c>
      <c r="N6" s="81" t="s">
        <v>535</v>
      </c>
      <c r="O6" s="258">
        <v>752</v>
      </c>
      <c r="P6" s="149">
        <v>7048</v>
      </c>
      <c r="S6" s="135" t="s">
        <v>570</v>
      </c>
      <c r="T6" s="152" t="s">
        <v>571</v>
      </c>
      <c r="U6" s="75"/>
      <c r="V6" s="151">
        <v>1640</v>
      </c>
      <c r="W6" s="143">
        <v>5564</v>
      </c>
      <c r="X6" s="143">
        <v>15203</v>
      </c>
      <c r="Y6" s="149">
        <v>1168</v>
      </c>
      <c r="Z6" s="143"/>
      <c r="AA6" s="143">
        <v>18522</v>
      </c>
      <c r="AB6" s="143">
        <v>6576</v>
      </c>
      <c r="AC6" s="143">
        <v>943</v>
      </c>
      <c r="AD6" s="143">
        <v>5104</v>
      </c>
      <c r="AE6" s="143">
        <v>1415</v>
      </c>
      <c r="AF6" s="143"/>
      <c r="AG6" s="151">
        <v>176</v>
      </c>
      <c r="AH6" s="149">
        <v>1955</v>
      </c>
      <c r="AJ6" s="346">
        <v>731</v>
      </c>
      <c r="AL6" s="151">
        <v>2625</v>
      </c>
      <c r="AP6" s="125"/>
    </row>
    <row r="7" spans="1:42" x14ac:dyDescent="0.2">
      <c r="A7" s="126" t="s">
        <v>341</v>
      </c>
      <c r="B7" s="75" t="s">
        <v>520</v>
      </c>
      <c r="C7" s="75">
        <v>28</v>
      </c>
      <c r="D7" s="75">
        <v>1.1100000000000001</v>
      </c>
      <c r="E7" s="127">
        <f>D7/C7</f>
        <v>3.9642857142857146E-2</v>
      </c>
      <c r="G7" s="135" t="s">
        <v>561</v>
      </c>
      <c r="H7" s="3" t="s">
        <v>525</v>
      </c>
      <c r="I7" s="167">
        <f>E7*4</f>
        <v>0.15857142857142859</v>
      </c>
      <c r="J7" s="3" t="s">
        <v>520</v>
      </c>
      <c r="K7" s="182">
        <f>E7</f>
        <v>3.9642857142857146E-2</v>
      </c>
      <c r="M7" s="132" t="s">
        <v>536</v>
      </c>
      <c r="N7" s="81" t="s">
        <v>537</v>
      </c>
      <c r="O7" s="258">
        <v>1335</v>
      </c>
      <c r="P7" s="149">
        <v>5088</v>
      </c>
      <c r="S7" s="124" t="s">
        <v>572</v>
      </c>
      <c r="T7" s="153">
        <v>1.6E-2</v>
      </c>
      <c r="U7" s="145"/>
      <c r="V7" s="151">
        <f>V6*(1+T7)</f>
        <v>1666.24</v>
      </c>
      <c r="W7" s="143">
        <f>W6*(1+T7)</f>
        <v>5653.0240000000003</v>
      </c>
      <c r="X7" s="143">
        <f>X6*(1+T7)</f>
        <v>15446.248</v>
      </c>
      <c r="Y7" s="149">
        <f t="shared" ref="Y7:Y13" si="0">Y6*(1+T7)</f>
        <v>1186.6880000000001</v>
      </c>
      <c r="Z7" s="143"/>
      <c r="AA7" s="143">
        <f t="shared" ref="AA7:AA13" si="1">AA6*(1+T7)</f>
        <v>18818.351999999999</v>
      </c>
      <c r="AB7" s="144">
        <f t="shared" ref="AB7:AB13" si="2">AB6*(1+T7)</f>
        <v>6681.2160000000003</v>
      </c>
      <c r="AC7" s="144">
        <f t="shared" ref="AC7:AC13" si="3">AC6*(1+T7)</f>
        <v>958.08799999999997</v>
      </c>
      <c r="AD7" s="144">
        <f t="shared" ref="AD7:AD13" si="4">AD6*(1+T7)</f>
        <v>5185.6639999999998</v>
      </c>
      <c r="AE7" s="144">
        <f t="shared" ref="AE7:AE13" si="5">AE6*(1+T7)</f>
        <v>1437.64</v>
      </c>
      <c r="AF7" s="144"/>
      <c r="AG7" s="151">
        <f t="shared" ref="AG7:AG13" si="6">AG6*(1+T7)</f>
        <v>178.816</v>
      </c>
      <c r="AH7" s="149">
        <f t="shared" ref="AH7:AH13" si="7">AH6*(1+T7)</f>
        <v>1986.28</v>
      </c>
      <c r="AJ7" s="346">
        <f>AJ6*(1+T7)</f>
        <v>742.69600000000003</v>
      </c>
      <c r="AL7" s="151">
        <f>AL6*(1+T7)</f>
        <v>2667</v>
      </c>
      <c r="AP7" s="125"/>
    </row>
    <row r="8" spans="1:42" x14ac:dyDescent="0.2">
      <c r="A8" s="126" t="s">
        <v>342</v>
      </c>
      <c r="B8" s="75" t="s">
        <v>521</v>
      </c>
      <c r="C8" s="75">
        <v>28</v>
      </c>
      <c r="D8" s="75">
        <v>30.95</v>
      </c>
      <c r="E8" s="127">
        <f>D8/C8</f>
        <v>1.1053571428571429</v>
      </c>
      <c r="G8" s="135" t="s">
        <v>562</v>
      </c>
      <c r="H8" s="3" t="s">
        <v>526</v>
      </c>
      <c r="I8" s="167">
        <f>E7*8</f>
        <v>0.31714285714285717</v>
      </c>
      <c r="J8" s="3" t="s">
        <v>520</v>
      </c>
      <c r="K8" s="182">
        <f>E7</f>
        <v>3.9642857142857146E-2</v>
      </c>
      <c r="M8" s="132" t="s">
        <v>538</v>
      </c>
      <c r="N8" s="81" t="s">
        <v>539</v>
      </c>
      <c r="O8" s="258">
        <v>3165</v>
      </c>
      <c r="P8" s="149">
        <v>3883</v>
      </c>
      <c r="S8" s="124" t="s">
        <v>573</v>
      </c>
      <c r="T8" s="153">
        <v>2.1399999999999999E-2</v>
      </c>
      <c r="U8" s="145"/>
      <c r="V8" s="151">
        <f t="shared" ref="V8:V13" si="8">V7*(1+T8)</f>
        <v>1701.8975360000002</v>
      </c>
      <c r="W8" s="143">
        <f t="shared" ref="W8:W13" si="9">W7*(1+T8)</f>
        <v>5773.9987136000009</v>
      </c>
      <c r="X8" s="143">
        <f t="shared" ref="X8:X13" si="10">X7*(1+T8)</f>
        <v>15776.797707200001</v>
      </c>
      <c r="Y8" s="149">
        <f t="shared" si="0"/>
        <v>1212.0831232000003</v>
      </c>
      <c r="Z8" s="143"/>
      <c r="AA8" s="143">
        <f t="shared" si="1"/>
        <v>19221.064732800001</v>
      </c>
      <c r="AB8" s="144">
        <f t="shared" si="2"/>
        <v>6824.1940224000009</v>
      </c>
      <c r="AC8" s="144">
        <f t="shared" si="3"/>
        <v>978.59108320000007</v>
      </c>
      <c r="AD8" s="144">
        <f t="shared" si="4"/>
        <v>5296.6372096000005</v>
      </c>
      <c r="AE8" s="144">
        <f t="shared" si="5"/>
        <v>1468.4054960000003</v>
      </c>
      <c r="AF8" s="144"/>
      <c r="AG8" s="151">
        <f t="shared" si="6"/>
        <v>182.64266240000001</v>
      </c>
      <c r="AH8" s="149">
        <f t="shared" si="7"/>
        <v>2028.7863920000002</v>
      </c>
      <c r="AJ8" s="346">
        <f t="shared" ref="AJ8:AJ13" si="11">AJ7*(1+T8)</f>
        <v>758.5896944000001</v>
      </c>
      <c r="AL8" s="151">
        <f t="shared" ref="AL8:AL13" si="12">AL7*(1+T8)</f>
        <v>2724.0738000000001</v>
      </c>
      <c r="AP8" s="125"/>
    </row>
    <row r="9" spans="1:42" x14ac:dyDescent="0.2">
      <c r="A9" s="126" t="s">
        <v>666</v>
      </c>
      <c r="B9" s="75" t="s">
        <v>522</v>
      </c>
      <c r="C9" s="75">
        <v>28</v>
      </c>
      <c r="D9" s="75">
        <v>4.09</v>
      </c>
      <c r="E9" s="127">
        <f>D9/C9</f>
        <v>0.14607142857142857</v>
      </c>
      <c r="G9" s="135" t="s">
        <v>563</v>
      </c>
      <c r="H9" s="3" t="s">
        <v>527</v>
      </c>
      <c r="I9" s="167">
        <f>E9*10</f>
        <v>1.4607142857142859</v>
      </c>
      <c r="J9" s="167" t="s">
        <v>521</v>
      </c>
      <c r="K9" s="182">
        <f>E8</f>
        <v>1.1053571428571429</v>
      </c>
      <c r="M9" s="132" t="s">
        <v>540</v>
      </c>
      <c r="N9" s="81" t="s">
        <v>541</v>
      </c>
      <c r="O9" s="258">
        <v>3061</v>
      </c>
      <c r="P9" s="149">
        <v>3297</v>
      </c>
      <c r="S9" s="124" t="s">
        <v>574</v>
      </c>
      <c r="T9" s="153">
        <v>2.4899999999999999E-2</v>
      </c>
      <c r="U9" s="145"/>
      <c r="V9" s="151">
        <f t="shared" si="8"/>
        <v>1744.2747846464001</v>
      </c>
      <c r="W9" s="143">
        <f t="shared" si="9"/>
        <v>5917.77128156864</v>
      </c>
      <c r="X9" s="143">
        <f t="shared" si="10"/>
        <v>16169.63997010928</v>
      </c>
      <c r="Y9" s="149">
        <f t="shared" si="0"/>
        <v>1242.2639929676802</v>
      </c>
      <c r="Z9" s="143"/>
      <c r="AA9" s="143">
        <f t="shared" si="1"/>
        <v>19699.66924464672</v>
      </c>
      <c r="AB9" s="144">
        <f t="shared" si="2"/>
        <v>6994.11645355776</v>
      </c>
      <c r="AC9" s="144">
        <f t="shared" si="3"/>
        <v>1002.9580011716801</v>
      </c>
      <c r="AD9" s="144">
        <f t="shared" si="4"/>
        <v>5428.5234761190404</v>
      </c>
      <c r="AE9" s="144">
        <f t="shared" si="5"/>
        <v>1504.9687928504002</v>
      </c>
      <c r="AF9" s="144"/>
      <c r="AG9" s="151">
        <f t="shared" si="6"/>
        <v>187.19046469375999</v>
      </c>
      <c r="AH9" s="149">
        <f t="shared" si="7"/>
        <v>2079.3031731608003</v>
      </c>
      <c r="AJ9" s="346">
        <f t="shared" si="11"/>
        <v>777.47857779056005</v>
      </c>
      <c r="AL9" s="151">
        <f t="shared" si="12"/>
        <v>2791.9032376199998</v>
      </c>
      <c r="AP9" s="125"/>
    </row>
    <row r="10" spans="1:42" x14ac:dyDescent="0.2">
      <c r="A10" s="126" t="s">
        <v>343</v>
      </c>
      <c r="B10" s="75" t="s">
        <v>523</v>
      </c>
      <c r="C10" s="75">
        <v>56</v>
      </c>
      <c r="D10" s="75">
        <v>54.6</v>
      </c>
      <c r="E10" s="127">
        <f>D10/C10</f>
        <v>0.97499999999999998</v>
      </c>
      <c r="G10" s="135" t="s">
        <v>564</v>
      </c>
      <c r="H10" s="3" t="s">
        <v>527</v>
      </c>
      <c r="I10" s="167">
        <f>E9*10</f>
        <v>1.4607142857142859</v>
      </c>
      <c r="J10" s="167" t="s">
        <v>522</v>
      </c>
      <c r="K10" s="176">
        <v>0.15</v>
      </c>
      <c r="M10" s="132" t="s">
        <v>542</v>
      </c>
      <c r="N10" s="81" t="s">
        <v>543</v>
      </c>
      <c r="O10" s="258">
        <v>1307</v>
      </c>
      <c r="P10" s="149">
        <v>6825</v>
      </c>
      <c r="S10" s="124" t="s">
        <v>575</v>
      </c>
      <c r="T10" s="153">
        <v>2.5700000000000001E-2</v>
      </c>
      <c r="U10" s="145"/>
      <c r="V10" s="151">
        <f t="shared" si="8"/>
        <v>1789.1026466118128</v>
      </c>
      <c r="W10" s="143">
        <f t="shared" si="9"/>
        <v>6069.8580035049545</v>
      </c>
      <c r="X10" s="143">
        <f t="shared" si="10"/>
        <v>16585.199717341089</v>
      </c>
      <c r="Y10" s="149">
        <f t="shared" si="0"/>
        <v>1274.1901775869496</v>
      </c>
      <c r="Z10" s="143"/>
      <c r="AA10" s="143">
        <f t="shared" si="1"/>
        <v>20205.950744234142</v>
      </c>
      <c r="AB10" s="144">
        <f t="shared" si="2"/>
        <v>7173.8652464141951</v>
      </c>
      <c r="AC10" s="144">
        <f t="shared" si="3"/>
        <v>1028.7340218017923</v>
      </c>
      <c r="AD10" s="144">
        <f t="shared" si="4"/>
        <v>5568.0365294553003</v>
      </c>
      <c r="AE10" s="144">
        <f t="shared" si="5"/>
        <v>1543.6464908266555</v>
      </c>
      <c r="AF10" s="144"/>
      <c r="AG10" s="151">
        <f t="shared" si="6"/>
        <v>192.00125963638965</v>
      </c>
      <c r="AH10" s="149">
        <f t="shared" si="7"/>
        <v>2132.7412647110327</v>
      </c>
      <c r="AJ10" s="346">
        <f t="shared" si="11"/>
        <v>797.45977723977751</v>
      </c>
      <c r="AL10" s="151">
        <f t="shared" si="12"/>
        <v>2863.655150826834</v>
      </c>
      <c r="AP10" s="125"/>
    </row>
    <row r="11" spans="1:42" x14ac:dyDescent="0.2">
      <c r="A11" s="130" t="s">
        <v>532</v>
      </c>
      <c r="B11" s="128"/>
      <c r="C11" s="128"/>
      <c r="D11" s="128"/>
      <c r="E11" s="129"/>
      <c r="G11" s="135" t="s">
        <v>343</v>
      </c>
      <c r="H11" s="3" t="s">
        <v>528</v>
      </c>
      <c r="I11" s="167">
        <f>E10*2</f>
        <v>1.95</v>
      </c>
      <c r="J11" s="167" t="s">
        <v>528</v>
      </c>
      <c r="K11" s="182">
        <f>E10*2</f>
        <v>1.95</v>
      </c>
      <c r="M11" s="132" t="s">
        <v>544</v>
      </c>
      <c r="N11" s="81" t="s">
        <v>545</v>
      </c>
      <c r="O11" s="258">
        <v>2802</v>
      </c>
      <c r="P11" s="149">
        <v>4406</v>
      </c>
      <c r="S11" s="124" t="s">
        <v>576</v>
      </c>
      <c r="T11" s="153">
        <v>7.0300000000000001E-2</v>
      </c>
      <c r="U11" s="145"/>
      <c r="V11" s="151">
        <f t="shared" si="8"/>
        <v>1914.8765626686234</v>
      </c>
      <c r="W11" s="143">
        <f t="shared" si="9"/>
        <v>6496.5690211513529</v>
      </c>
      <c r="X11" s="143">
        <f t="shared" si="10"/>
        <v>17751.139257470168</v>
      </c>
      <c r="Y11" s="149">
        <f t="shared" si="0"/>
        <v>1363.7657470713123</v>
      </c>
      <c r="Z11" s="143"/>
      <c r="AA11" s="143">
        <f t="shared" si="1"/>
        <v>21626.429081553804</v>
      </c>
      <c r="AB11" s="144">
        <f t="shared" si="2"/>
        <v>7678.1879732371135</v>
      </c>
      <c r="AC11" s="144">
        <f t="shared" si="3"/>
        <v>1101.0540235344583</v>
      </c>
      <c r="AD11" s="144">
        <f t="shared" si="4"/>
        <v>5959.4694974760077</v>
      </c>
      <c r="AE11" s="144">
        <f t="shared" si="5"/>
        <v>1652.1648391317694</v>
      </c>
      <c r="AF11" s="144"/>
      <c r="AG11" s="151">
        <f t="shared" si="6"/>
        <v>205.49894818882785</v>
      </c>
      <c r="AH11" s="149">
        <f t="shared" si="7"/>
        <v>2282.6729756202185</v>
      </c>
      <c r="AJ11" s="346">
        <f t="shared" si="11"/>
        <v>853.52119957973389</v>
      </c>
      <c r="AL11" s="151">
        <f t="shared" si="12"/>
        <v>3064.9701079299602</v>
      </c>
      <c r="AP11" s="125"/>
    </row>
    <row r="12" spans="1:42" x14ac:dyDescent="0.2">
      <c r="A12" s="3"/>
      <c r="G12" s="130" t="s">
        <v>560</v>
      </c>
      <c r="H12" s="128"/>
      <c r="I12" s="128"/>
      <c r="J12" s="128"/>
      <c r="K12" s="129"/>
      <c r="M12" s="132" t="s">
        <v>546</v>
      </c>
      <c r="N12" s="81" t="s">
        <v>547</v>
      </c>
      <c r="O12" s="258">
        <v>9037</v>
      </c>
      <c r="P12" s="149">
        <v>3454</v>
      </c>
      <c r="S12" s="124" t="s">
        <v>577</v>
      </c>
      <c r="T12" s="153">
        <v>2.9000000000000001E-2</v>
      </c>
      <c r="U12" s="145"/>
      <c r="V12" s="151">
        <f t="shared" si="8"/>
        <v>1970.4079829860132</v>
      </c>
      <c r="W12" s="143">
        <f t="shared" si="9"/>
        <v>6684.9695227647417</v>
      </c>
      <c r="X12" s="143">
        <f t="shared" si="10"/>
        <v>18265.922295936802</v>
      </c>
      <c r="Y12" s="149">
        <f t="shared" si="0"/>
        <v>1403.3149537363802</v>
      </c>
      <c r="Z12" s="143"/>
      <c r="AA12" s="143">
        <f t="shared" si="1"/>
        <v>22253.595524918863</v>
      </c>
      <c r="AB12" s="144">
        <f t="shared" si="2"/>
        <v>7900.8554244609895</v>
      </c>
      <c r="AC12" s="144">
        <f t="shared" si="3"/>
        <v>1132.9845902169575</v>
      </c>
      <c r="AD12" s="144">
        <f t="shared" si="4"/>
        <v>6132.2941129028113</v>
      </c>
      <c r="AE12" s="144">
        <f t="shared" si="5"/>
        <v>1700.0776194665907</v>
      </c>
      <c r="AF12" s="144"/>
      <c r="AG12" s="151">
        <f t="shared" si="6"/>
        <v>211.45841768630385</v>
      </c>
      <c r="AH12" s="149">
        <f t="shared" si="7"/>
        <v>2348.8704919132047</v>
      </c>
      <c r="AJ12" s="346">
        <f t="shared" si="11"/>
        <v>878.27331436754605</v>
      </c>
      <c r="AL12" s="151">
        <f t="shared" si="12"/>
        <v>3153.8542410599289</v>
      </c>
      <c r="AP12" s="125"/>
    </row>
    <row r="13" spans="1:42" x14ac:dyDescent="0.2">
      <c r="A13" s="3"/>
      <c r="M13" s="132" t="s">
        <v>548</v>
      </c>
      <c r="N13" s="81" t="s">
        <v>549</v>
      </c>
      <c r="O13" s="258">
        <v>10510</v>
      </c>
      <c r="P13" s="149">
        <v>2940</v>
      </c>
      <c r="S13" s="156" t="s">
        <v>578</v>
      </c>
      <c r="T13" s="157">
        <v>1.7000000000000001E-2</v>
      </c>
      <c r="U13" s="145"/>
      <c r="V13" s="159">
        <f t="shared" si="8"/>
        <v>2003.9049186967752</v>
      </c>
      <c r="W13" s="162">
        <f t="shared" si="9"/>
        <v>6798.6140046517412</v>
      </c>
      <c r="X13" s="162">
        <f t="shared" si="10"/>
        <v>18576.442974967726</v>
      </c>
      <c r="Y13" s="162">
        <f t="shared" si="0"/>
        <v>1427.1713079498984</v>
      </c>
      <c r="Z13" s="143"/>
      <c r="AA13" s="161">
        <f t="shared" si="1"/>
        <v>22631.90664884248</v>
      </c>
      <c r="AB13" s="158">
        <f t="shared" si="2"/>
        <v>8035.1699666768254</v>
      </c>
      <c r="AC13" s="158">
        <f t="shared" si="3"/>
        <v>1152.2453282506456</v>
      </c>
      <c r="AD13" s="158">
        <f t="shared" si="4"/>
        <v>6236.5431128221589</v>
      </c>
      <c r="AE13" s="158">
        <f t="shared" si="5"/>
        <v>1728.9789389975226</v>
      </c>
      <c r="AF13" s="144"/>
      <c r="AG13" s="159">
        <f t="shared" si="6"/>
        <v>215.05321078697099</v>
      </c>
      <c r="AH13" s="160">
        <f t="shared" si="7"/>
        <v>2388.8012902757291</v>
      </c>
      <c r="AJ13" s="347">
        <f t="shared" si="11"/>
        <v>893.20396071179425</v>
      </c>
      <c r="AL13" s="345">
        <f t="shared" si="12"/>
        <v>3207.4697631579475</v>
      </c>
      <c r="AM13" s="350">
        <f>AL13+(AL13*0.1)</f>
        <v>3528.2167394737421</v>
      </c>
      <c r="AN13" s="350">
        <f>AL13+(AL13*0.2)</f>
        <v>3848.9637157895368</v>
      </c>
      <c r="AO13" s="350">
        <f>AL13+(AL13*0.3)</f>
        <v>4169.7106921053319</v>
      </c>
      <c r="AP13" s="351">
        <f>AL13+(AL13*0.4)</f>
        <v>4490.4576684211261</v>
      </c>
    </row>
    <row r="14" spans="1:42" x14ac:dyDescent="0.2">
      <c r="A14" s="232" t="s">
        <v>565</v>
      </c>
      <c r="B14" s="235">
        <v>2.5714285714285714E-2</v>
      </c>
      <c r="M14" s="126"/>
      <c r="N14" s="81" t="s">
        <v>550</v>
      </c>
      <c r="O14" s="133"/>
      <c r="P14" s="134"/>
      <c r="S14" s="140" t="s">
        <v>568</v>
      </c>
      <c r="T14" s="3"/>
      <c r="U14" s="3"/>
    </row>
    <row r="15" spans="1:42" x14ac:dyDescent="0.2">
      <c r="A15" s="223" t="s">
        <v>663</v>
      </c>
      <c r="B15" s="182">
        <v>3.9642857142857146E-2</v>
      </c>
      <c r="M15" s="124" t="s">
        <v>534</v>
      </c>
      <c r="N15" s="81" t="s">
        <v>535</v>
      </c>
      <c r="O15" s="258">
        <v>292</v>
      </c>
      <c r="P15" s="149">
        <v>2933.8742736397257</v>
      </c>
    </row>
    <row r="16" spans="1:42" x14ac:dyDescent="0.2">
      <c r="A16" s="223" t="s">
        <v>664</v>
      </c>
      <c r="B16" s="182">
        <v>1.1053571428571429</v>
      </c>
      <c r="M16" s="124" t="s">
        <v>536</v>
      </c>
      <c r="N16" s="81" t="s">
        <v>537</v>
      </c>
      <c r="O16" s="258">
        <v>476</v>
      </c>
      <c r="P16" s="149">
        <v>2191.3802092895176</v>
      </c>
      <c r="S16" s="140" t="s">
        <v>591</v>
      </c>
    </row>
    <row r="17" spans="1:16" x14ac:dyDescent="0.2">
      <c r="A17" s="223" t="s">
        <v>665</v>
      </c>
      <c r="B17" s="182">
        <v>0.15</v>
      </c>
      <c r="M17" s="124" t="s">
        <v>538</v>
      </c>
      <c r="N17" s="81" t="s">
        <v>539</v>
      </c>
      <c r="O17" s="258">
        <v>1579</v>
      </c>
      <c r="P17" s="149">
        <v>1928.9462653288742</v>
      </c>
    </row>
    <row r="18" spans="1:16" x14ac:dyDescent="0.2">
      <c r="A18" s="223" t="s">
        <v>566</v>
      </c>
      <c r="B18" s="182">
        <v>1.95</v>
      </c>
      <c r="M18" s="124" t="s">
        <v>540</v>
      </c>
      <c r="N18" s="81" t="s">
        <v>541</v>
      </c>
      <c r="O18" s="258">
        <v>2236</v>
      </c>
      <c r="P18" s="149">
        <v>1847.4497354497353</v>
      </c>
    </row>
    <row r="19" spans="1:16" x14ac:dyDescent="0.2">
      <c r="A19" s="233" t="s">
        <v>667</v>
      </c>
      <c r="B19" s="182">
        <v>0.15857142857142859</v>
      </c>
      <c r="M19" s="124" t="s">
        <v>542</v>
      </c>
      <c r="N19" s="81" t="s">
        <v>543</v>
      </c>
      <c r="O19" s="258">
        <v>427</v>
      </c>
      <c r="P19" s="149">
        <v>2506.63272780545</v>
      </c>
    </row>
    <row r="20" spans="1:16" x14ac:dyDescent="0.2">
      <c r="A20" s="233" t="s">
        <v>673</v>
      </c>
      <c r="B20" s="182">
        <v>0.31714285714285717</v>
      </c>
      <c r="M20" s="124" t="s">
        <v>544</v>
      </c>
      <c r="N20" s="81" t="s">
        <v>545</v>
      </c>
      <c r="O20" s="258">
        <v>1127</v>
      </c>
      <c r="P20" s="149">
        <v>1889.6609132619619</v>
      </c>
    </row>
    <row r="21" spans="1:16" x14ac:dyDescent="0.2">
      <c r="A21" s="233" t="s">
        <v>668</v>
      </c>
      <c r="B21" s="182">
        <v>1.4607142857142859</v>
      </c>
      <c r="M21" s="124" t="s">
        <v>546</v>
      </c>
      <c r="N21" s="81" t="s">
        <v>547</v>
      </c>
      <c r="O21" s="258">
        <v>5137</v>
      </c>
      <c r="P21" s="149">
        <v>1783.3203617429433</v>
      </c>
    </row>
    <row r="22" spans="1:16" x14ac:dyDescent="0.2">
      <c r="A22" s="234" t="s">
        <v>669</v>
      </c>
      <c r="B22" s="236">
        <v>1.96</v>
      </c>
      <c r="M22" s="124" t="s">
        <v>548</v>
      </c>
      <c r="N22" s="81" t="s">
        <v>549</v>
      </c>
      <c r="O22" s="258">
        <v>8843</v>
      </c>
      <c r="P22" s="149">
        <v>1646.7692307692307</v>
      </c>
    </row>
    <row r="23" spans="1:16" x14ac:dyDescent="0.2">
      <c r="A23" s="126"/>
      <c r="B23" s="80"/>
      <c r="M23" s="124"/>
      <c r="O23" s="258">
        <f>SUM(O6:O22)</f>
        <v>52086</v>
      </c>
      <c r="P23" s="259">
        <v>3125.091522845476</v>
      </c>
    </row>
    <row r="24" spans="1:16" ht="14.25" customHeight="1" x14ac:dyDescent="0.2">
      <c r="A24" s="126"/>
      <c r="B24" s="80"/>
      <c r="M24" s="142" t="s">
        <v>555</v>
      </c>
      <c r="N24" s="128"/>
      <c r="O24" s="128"/>
      <c r="P24" s="129"/>
    </row>
    <row r="34" spans="1:1" x14ac:dyDescent="0.2">
      <c r="A34" s="3"/>
    </row>
    <row r="35" spans="1:1" x14ac:dyDescent="0.2">
      <c r="A35" s="3"/>
    </row>
    <row r="36" spans="1:1" x14ac:dyDescent="0.2">
      <c r="A36" s="3"/>
    </row>
    <row r="37" spans="1:1" x14ac:dyDescent="0.2">
      <c r="A37" s="3"/>
    </row>
    <row r="38" spans="1:1" x14ac:dyDescent="0.2">
      <c r="A38" s="3"/>
    </row>
    <row r="39" spans="1:1" x14ac:dyDescent="0.2">
      <c r="A39" s="3"/>
    </row>
    <row r="40" spans="1:1" x14ac:dyDescent="0.2">
      <c r="A40" s="3"/>
    </row>
    <row r="41" spans="1:1" x14ac:dyDescent="0.2">
      <c r="A41" s="3"/>
    </row>
    <row r="42" spans="1:1" x14ac:dyDescent="0.2">
      <c r="A42" s="3"/>
    </row>
    <row r="43" spans="1:1" x14ac:dyDescent="0.2">
      <c r="A43" s="3"/>
    </row>
    <row r="44" spans="1:1" x14ac:dyDescent="0.2">
      <c r="A44" s="3"/>
    </row>
    <row r="45" spans="1:1" x14ac:dyDescent="0.2">
      <c r="A45" s="3"/>
    </row>
    <row r="46" spans="1:1" x14ac:dyDescent="0.2">
      <c r="A46" s="3"/>
    </row>
    <row r="47" spans="1:1" x14ac:dyDescent="0.2">
      <c r="A47" s="3"/>
    </row>
    <row r="48" spans="1:1" x14ac:dyDescent="0.2">
      <c r="A48" s="3"/>
    </row>
    <row r="49" spans="1:1" x14ac:dyDescent="0.2">
      <c r="A49" s="3"/>
    </row>
    <row r="50" spans="1:1" x14ac:dyDescent="0.2">
      <c r="A50" s="3"/>
    </row>
    <row r="51" spans="1:1" x14ac:dyDescent="0.2">
      <c r="A51" s="3"/>
    </row>
    <row r="52" spans="1:1" x14ac:dyDescent="0.2">
      <c r="A52" s="3"/>
    </row>
    <row r="53" spans="1:1" x14ac:dyDescent="0.2">
      <c r="A53" s="3"/>
    </row>
  </sheetData>
  <mergeCells count="4">
    <mergeCell ref="AG4:AH4"/>
    <mergeCell ref="V4:Y4"/>
    <mergeCell ref="AA4:AE4"/>
    <mergeCell ref="AL4:AP4"/>
  </mergeCells>
  <phoneticPr fontId="4" type="noConversion"/>
  <hyperlinks>
    <hyperlink ref="S14" r:id="rId1" display="https://kar.kent.ac.uk/105685/1/The unit costs of health and social care_Final3.pdf" xr:uid="{29F33559-30D2-427F-B5C2-23BB16344AF8}"/>
    <hyperlink ref="S16" r:id="rId2" display="https://www.england.nhs.uk/wp-content/uploads/2023/03/23-25NHSPS-amended_Annex-D-Prices-and-cost-adjustments_2024-25.pdf" xr:uid="{713E63D2-805B-472B-A200-442F4C24AED6}"/>
  </hyperlinks>
  <pageMargins left="0.7" right="0.7" top="0.75" bottom="0.75" header="0.3" footer="0.3"/>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3386F2-FA43-44E4-A35D-254A1FF3328E}">
  <dimension ref="A1:K37"/>
  <sheetViews>
    <sheetView workbookViewId="0">
      <selection activeCell="B5" sqref="B5"/>
    </sheetView>
  </sheetViews>
  <sheetFormatPr baseColWidth="10" defaultColWidth="8.83203125" defaultRowHeight="15" x14ac:dyDescent="0.2"/>
  <cols>
    <col min="1" max="1" width="46.83203125" style="104" customWidth="1"/>
    <col min="2" max="2" width="36.83203125" style="104" customWidth="1"/>
    <col min="3" max="3" width="25.1640625" style="3" customWidth="1"/>
    <col min="4" max="4" width="16.5" customWidth="1"/>
    <col min="5" max="5" width="19.5" customWidth="1"/>
    <col min="6" max="6" width="16.5" customWidth="1"/>
    <col min="7" max="7" width="13.5" customWidth="1"/>
    <col min="8" max="8" width="15.5" customWidth="1"/>
  </cols>
  <sheetData>
    <row r="1" spans="1:11" x14ac:dyDescent="0.2">
      <c r="A1" s="255" t="s">
        <v>795</v>
      </c>
      <c r="B1" s="256" t="s">
        <v>755</v>
      </c>
    </row>
    <row r="2" spans="1:11" x14ac:dyDescent="0.2">
      <c r="A2" s="104" t="s">
        <v>759</v>
      </c>
      <c r="B2" s="104" t="s">
        <v>756</v>
      </c>
    </row>
    <row r="3" spans="1:11" x14ac:dyDescent="0.2">
      <c r="A3" s="104" t="s">
        <v>760</v>
      </c>
      <c r="B3" s="254">
        <v>4.2999999999999997E-2</v>
      </c>
    </row>
    <row r="4" spans="1:11" x14ac:dyDescent="0.2">
      <c r="A4" s="104" t="s">
        <v>771</v>
      </c>
      <c r="B4" s="104">
        <v>0</v>
      </c>
      <c r="E4" s="253"/>
      <c r="F4" s="122" t="s">
        <v>753</v>
      </c>
      <c r="G4" s="122"/>
      <c r="H4" s="122"/>
      <c r="I4" s="122"/>
      <c r="J4" s="122"/>
      <c r="K4" s="123"/>
    </row>
    <row r="5" spans="1:11" x14ac:dyDescent="0.2">
      <c r="A5" s="104" t="s">
        <v>761</v>
      </c>
      <c r="B5" s="254">
        <v>1.12E-2</v>
      </c>
      <c r="E5" s="124" t="s">
        <v>752</v>
      </c>
      <c r="F5" s="251" t="s">
        <v>747</v>
      </c>
      <c r="G5" s="251" t="s">
        <v>368</v>
      </c>
      <c r="H5" s="251" t="s">
        <v>748</v>
      </c>
      <c r="I5" s="251" t="s">
        <v>349</v>
      </c>
      <c r="J5" s="251" t="s">
        <v>749</v>
      </c>
      <c r="K5" s="251" t="s">
        <v>750</v>
      </c>
    </row>
    <row r="6" spans="1:11" x14ac:dyDescent="0.2">
      <c r="A6" s="104" t="s">
        <v>772</v>
      </c>
      <c r="B6" s="254">
        <v>0</v>
      </c>
      <c r="E6" s="252" t="s">
        <v>747</v>
      </c>
      <c r="F6" s="218" t="s">
        <v>751</v>
      </c>
      <c r="G6" s="218">
        <v>4.2999999999999997E-2</v>
      </c>
      <c r="H6">
        <v>0</v>
      </c>
      <c r="I6" s="218">
        <v>1.12E-2</v>
      </c>
      <c r="J6">
        <v>0</v>
      </c>
      <c r="K6" s="125"/>
    </row>
    <row r="7" spans="1:11" x14ac:dyDescent="0.2">
      <c r="A7" s="104" t="s">
        <v>762</v>
      </c>
      <c r="B7" s="104" t="s">
        <v>757</v>
      </c>
      <c r="E7" s="252" t="s">
        <v>368</v>
      </c>
      <c r="F7">
        <v>0</v>
      </c>
      <c r="G7">
        <v>0</v>
      </c>
      <c r="H7" t="s">
        <v>754</v>
      </c>
      <c r="I7">
        <v>0</v>
      </c>
      <c r="J7">
        <v>0</v>
      </c>
      <c r="K7" s="125"/>
    </row>
    <row r="8" spans="1:11" x14ac:dyDescent="0.2">
      <c r="A8" s="104" t="s">
        <v>773</v>
      </c>
      <c r="B8" s="104">
        <v>0</v>
      </c>
      <c r="E8" s="252" t="s">
        <v>748</v>
      </c>
      <c r="F8">
        <v>0</v>
      </c>
      <c r="G8">
        <v>0</v>
      </c>
      <c r="H8" t="s">
        <v>754</v>
      </c>
      <c r="I8">
        <v>0</v>
      </c>
      <c r="J8">
        <v>0</v>
      </c>
      <c r="K8" s="125"/>
    </row>
    <row r="9" spans="1:11" x14ac:dyDescent="0.2">
      <c r="A9" s="104" t="s">
        <v>774</v>
      </c>
      <c r="B9" s="104">
        <v>0</v>
      </c>
      <c r="C9" s="145"/>
      <c r="E9" s="252" t="s">
        <v>349</v>
      </c>
      <c r="F9">
        <v>0</v>
      </c>
      <c r="G9">
        <v>0</v>
      </c>
      <c r="H9">
        <v>0</v>
      </c>
      <c r="I9">
        <v>0</v>
      </c>
      <c r="J9" t="s">
        <v>754</v>
      </c>
      <c r="K9" s="125"/>
    </row>
    <row r="10" spans="1:11" x14ac:dyDescent="0.2">
      <c r="A10" s="104" t="s">
        <v>763</v>
      </c>
      <c r="B10" s="104" t="s">
        <v>758</v>
      </c>
      <c r="E10" s="252" t="s">
        <v>749</v>
      </c>
      <c r="F10">
        <v>0</v>
      </c>
      <c r="G10">
        <v>0</v>
      </c>
      <c r="H10">
        <v>0</v>
      </c>
      <c r="I10">
        <v>0</v>
      </c>
      <c r="J10" t="s">
        <v>754</v>
      </c>
      <c r="K10" s="125"/>
    </row>
    <row r="11" spans="1:11" x14ac:dyDescent="0.2">
      <c r="A11" s="104" t="s">
        <v>775</v>
      </c>
      <c r="B11" s="104">
        <v>0</v>
      </c>
      <c r="C11" s="145"/>
      <c r="E11" s="252" t="s">
        <v>750</v>
      </c>
      <c r="F11" s="128">
        <v>0</v>
      </c>
      <c r="G11" s="128">
        <v>0</v>
      </c>
      <c r="H11" s="128">
        <v>0</v>
      </c>
      <c r="I11" s="128">
        <v>0</v>
      </c>
      <c r="J11" s="128">
        <v>0</v>
      </c>
      <c r="K11" s="129">
        <v>1</v>
      </c>
    </row>
    <row r="12" spans="1:11" x14ac:dyDescent="0.2">
      <c r="A12" s="104" t="s">
        <v>776</v>
      </c>
      <c r="B12" s="104">
        <v>0</v>
      </c>
    </row>
    <row r="13" spans="1:11" x14ac:dyDescent="0.2">
      <c r="A13" s="104" t="s">
        <v>764</v>
      </c>
      <c r="B13" s="104" t="s">
        <v>757</v>
      </c>
    </row>
    <row r="14" spans="1:11" x14ac:dyDescent="0.2">
      <c r="A14" s="104" t="s">
        <v>777</v>
      </c>
      <c r="B14" s="104">
        <v>0</v>
      </c>
    </row>
    <row r="15" spans="1:11" x14ac:dyDescent="0.2">
      <c r="A15" s="104" t="s">
        <v>778</v>
      </c>
      <c r="B15" s="104">
        <v>0</v>
      </c>
    </row>
    <row r="16" spans="1:11" x14ac:dyDescent="0.2">
      <c r="A16" s="104" t="s">
        <v>765</v>
      </c>
      <c r="B16" s="104" t="s">
        <v>758</v>
      </c>
    </row>
    <row r="17" spans="1:2" x14ac:dyDescent="0.2">
      <c r="A17" s="104" t="s">
        <v>779</v>
      </c>
      <c r="B17" s="104">
        <v>0</v>
      </c>
    </row>
    <row r="18" spans="1:2" x14ac:dyDescent="0.2">
      <c r="A18" s="104" t="s">
        <v>780</v>
      </c>
      <c r="B18" s="104">
        <v>0</v>
      </c>
    </row>
    <row r="19" spans="1:2" x14ac:dyDescent="0.2">
      <c r="A19" s="104" t="s">
        <v>766</v>
      </c>
      <c r="B19" s="104" t="s">
        <v>757</v>
      </c>
    </row>
    <row r="20" spans="1:2" x14ac:dyDescent="0.2">
      <c r="A20" s="104" t="s">
        <v>781</v>
      </c>
      <c r="B20" s="104">
        <v>0</v>
      </c>
    </row>
    <row r="21" spans="1:2" x14ac:dyDescent="0.2">
      <c r="A21" s="104" t="s">
        <v>782</v>
      </c>
      <c r="B21" s="104">
        <v>0</v>
      </c>
    </row>
    <row r="22" spans="1:2" x14ac:dyDescent="0.2">
      <c r="A22" s="104" t="s">
        <v>783</v>
      </c>
      <c r="B22" s="104">
        <v>0</v>
      </c>
    </row>
    <row r="23" spans="1:2" x14ac:dyDescent="0.2">
      <c r="A23" s="104" t="s">
        <v>784</v>
      </c>
      <c r="B23" s="104">
        <v>0</v>
      </c>
    </row>
    <row r="24" spans="1:2" x14ac:dyDescent="0.2">
      <c r="A24" s="104" t="s">
        <v>767</v>
      </c>
      <c r="B24" s="104" t="s">
        <v>758</v>
      </c>
    </row>
    <row r="25" spans="1:2" x14ac:dyDescent="0.2">
      <c r="A25" s="104" t="s">
        <v>768</v>
      </c>
      <c r="B25" s="104" t="s">
        <v>757</v>
      </c>
    </row>
    <row r="26" spans="1:2" x14ac:dyDescent="0.2">
      <c r="A26" s="104" t="s">
        <v>785</v>
      </c>
      <c r="B26" s="104">
        <v>0</v>
      </c>
    </row>
    <row r="27" spans="1:2" x14ac:dyDescent="0.2">
      <c r="A27" s="104" t="s">
        <v>786</v>
      </c>
      <c r="B27" s="104">
        <v>0</v>
      </c>
    </row>
    <row r="28" spans="1:2" x14ac:dyDescent="0.2">
      <c r="A28" s="104" t="s">
        <v>787</v>
      </c>
      <c r="B28" s="104">
        <v>0</v>
      </c>
    </row>
    <row r="29" spans="1:2" x14ac:dyDescent="0.2">
      <c r="A29" s="104" t="s">
        <v>788</v>
      </c>
      <c r="B29" s="104">
        <v>0</v>
      </c>
    </row>
    <row r="30" spans="1:2" x14ac:dyDescent="0.2">
      <c r="A30" s="104" t="s">
        <v>789</v>
      </c>
      <c r="B30" s="104">
        <v>0</v>
      </c>
    </row>
    <row r="31" spans="1:2" x14ac:dyDescent="0.2">
      <c r="A31" s="104" t="s">
        <v>769</v>
      </c>
      <c r="B31" s="104" t="s">
        <v>757</v>
      </c>
    </row>
    <row r="32" spans="1:2" x14ac:dyDescent="0.2">
      <c r="A32" s="104" t="s">
        <v>790</v>
      </c>
      <c r="B32" s="104">
        <v>0</v>
      </c>
    </row>
    <row r="33" spans="1:2" x14ac:dyDescent="0.2">
      <c r="A33" s="104" t="s">
        <v>791</v>
      </c>
      <c r="B33" s="104">
        <v>0</v>
      </c>
    </row>
    <row r="34" spans="1:2" x14ac:dyDescent="0.2">
      <c r="A34" s="104" t="s">
        <v>792</v>
      </c>
      <c r="B34" s="104">
        <v>0</v>
      </c>
    </row>
    <row r="35" spans="1:2" x14ac:dyDescent="0.2">
      <c r="A35" s="104" t="s">
        <v>793</v>
      </c>
      <c r="B35" s="104">
        <v>0</v>
      </c>
    </row>
    <row r="36" spans="1:2" x14ac:dyDescent="0.2">
      <c r="A36" s="104" t="s">
        <v>794</v>
      </c>
      <c r="B36" s="104">
        <v>0</v>
      </c>
    </row>
    <row r="37" spans="1:2" x14ac:dyDescent="0.2">
      <c r="A37" s="104" t="s">
        <v>770</v>
      </c>
      <c r="B37" s="104">
        <v>1</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C1D349-0BEE-4269-B6E1-1E8D474BE817}">
  <sheetPr codeName="Sheet1"/>
  <dimension ref="A3:AF56"/>
  <sheetViews>
    <sheetView zoomScale="125" zoomScaleNormal="55" workbookViewId="0">
      <pane xSplit="5" topLeftCell="F1" activePane="topRight" state="frozen"/>
      <selection pane="topRight" activeCell="J13" sqref="J13"/>
    </sheetView>
  </sheetViews>
  <sheetFormatPr baseColWidth="10" defaultColWidth="8.83203125" defaultRowHeight="15" x14ac:dyDescent="0.2"/>
  <cols>
    <col min="1" max="1" width="15.1640625" style="3" customWidth="1"/>
    <col min="2" max="2" width="11.1640625" style="3" customWidth="1"/>
    <col min="3" max="3" width="10.6640625" style="3" customWidth="1"/>
    <col min="4" max="5" width="10" customWidth="1"/>
    <col min="6" max="6" width="2.1640625" customWidth="1"/>
    <col min="7" max="7" width="12.1640625" customWidth="1"/>
    <col min="8" max="8" width="19.83203125" customWidth="1"/>
    <col min="9" max="9" width="19" customWidth="1"/>
    <col min="10" max="10" width="14.5" customWidth="1"/>
    <col min="11" max="11" width="2.5" customWidth="1"/>
    <col min="12" max="12" width="13" customWidth="1"/>
    <col min="13" max="13" width="16.1640625" customWidth="1"/>
    <col min="14" max="14" width="13.1640625" customWidth="1"/>
    <col min="15" max="15" width="12.5" customWidth="1"/>
    <col min="16" max="16" width="2.5" customWidth="1"/>
    <col min="17" max="17" width="11" customWidth="1"/>
    <col min="18" max="18" width="15.5" customWidth="1"/>
    <col min="19" max="19" width="13.1640625" customWidth="1"/>
    <col min="20" max="20" width="14.83203125" customWidth="1"/>
    <col min="21" max="21" width="2.83203125" customWidth="1"/>
    <col min="22" max="22" width="10.1640625" customWidth="1"/>
    <col min="23" max="23" width="15" customWidth="1"/>
    <col min="24" max="24" width="13.5" customWidth="1"/>
    <col min="25" max="25" width="13.83203125" customWidth="1"/>
    <col min="26" max="26" width="4.1640625" customWidth="1"/>
    <col min="27" max="27" width="11.33203125" customWidth="1"/>
    <col min="28" max="28" width="12.83203125" customWidth="1"/>
    <col min="29" max="29" width="13.1640625" customWidth="1"/>
    <col min="30" max="30" width="14" customWidth="1"/>
  </cols>
  <sheetData>
    <row r="3" spans="1:32" x14ac:dyDescent="0.2">
      <c r="A3" s="241" t="s">
        <v>481</v>
      </c>
      <c r="B3" s="213" t="s">
        <v>468</v>
      </c>
      <c r="C3" s="213" t="s">
        <v>355</v>
      </c>
      <c r="D3" s="213" t="s">
        <v>356</v>
      </c>
      <c r="E3" s="214" t="s">
        <v>377</v>
      </c>
      <c r="F3" s="3"/>
      <c r="G3" s="3"/>
    </row>
    <row r="4" spans="1:32" x14ac:dyDescent="0.2">
      <c r="A4" s="124" t="s">
        <v>482</v>
      </c>
      <c r="B4" s="3">
        <v>2</v>
      </c>
      <c r="C4" s="3">
        <v>1.99</v>
      </c>
      <c r="D4" s="3">
        <v>2.0099999999999998</v>
      </c>
      <c r="E4" s="242">
        <f>(D4-C4)/(1.96*2)</f>
        <v>5.1020408163264782E-3</v>
      </c>
      <c r="F4" s="3"/>
    </row>
    <row r="5" spans="1:32" x14ac:dyDescent="0.2">
      <c r="A5" s="124" t="s">
        <v>483</v>
      </c>
      <c r="B5" s="3">
        <v>4.5</v>
      </c>
      <c r="C5" s="3">
        <v>4.43</v>
      </c>
      <c r="D5" s="3">
        <v>4.57</v>
      </c>
      <c r="E5" s="242">
        <f>(D5-C5)/(1.96*2)</f>
        <v>3.5714285714285858E-2</v>
      </c>
      <c r="F5" s="3"/>
    </row>
    <row r="6" spans="1:32" x14ac:dyDescent="0.2">
      <c r="A6" s="124" t="s">
        <v>484</v>
      </c>
      <c r="B6" s="3">
        <v>3</v>
      </c>
      <c r="C6" s="3">
        <v>2.95</v>
      </c>
      <c r="D6" s="3">
        <v>3.05</v>
      </c>
      <c r="E6" s="242">
        <f>(D6-C6)/(1.96*2)</f>
        <v>2.5510204081632563E-2</v>
      </c>
      <c r="F6" s="3"/>
    </row>
    <row r="7" spans="1:32" x14ac:dyDescent="0.2">
      <c r="A7" s="177" t="s">
        <v>485</v>
      </c>
      <c r="B7" s="3">
        <v>4.7300000000000004</v>
      </c>
      <c r="C7" s="3">
        <v>4.34</v>
      </c>
      <c r="D7" s="3">
        <v>5.15</v>
      </c>
      <c r="E7" s="242">
        <f>(D7-C7)/(1.96*2)</f>
        <v>0.20663265306122461</v>
      </c>
      <c r="F7" s="3"/>
    </row>
    <row r="8" spans="1:32" x14ac:dyDescent="0.2">
      <c r="A8" s="177" t="s">
        <v>486</v>
      </c>
      <c r="B8" s="3">
        <v>2.3199999999999998</v>
      </c>
      <c r="C8" s="3">
        <v>2.17</v>
      </c>
      <c r="D8" s="3">
        <v>2.4900000000000002</v>
      </c>
      <c r="E8" s="242">
        <f>(D8-C8)/(1.96*2)</f>
        <v>8.1632653061224567E-2</v>
      </c>
      <c r="F8" s="3"/>
    </row>
    <row r="9" spans="1:32" x14ac:dyDescent="0.2">
      <c r="A9" s="243" t="s">
        <v>487</v>
      </c>
      <c r="B9" s="185">
        <v>0.75</v>
      </c>
      <c r="C9" s="185"/>
      <c r="D9" s="128"/>
      <c r="E9" s="129"/>
    </row>
    <row r="11" spans="1:32" s="114" customFormat="1" ht="26.5" customHeight="1" x14ac:dyDescent="0.15">
      <c r="A11" s="617" t="s">
        <v>497</v>
      </c>
      <c r="B11" s="617"/>
      <c r="C11" s="113"/>
      <c r="D11" s="113"/>
      <c r="E11" s="239"/>
      <c r="F11" s="239"/>
      <c r="G11" s="617" t="s">
        <v>683</v>
      </c>
      <c r="H11" s="617"/>
      <c r="I11" s="105"/>
      <c r="J11" s="105"/>
      <c r="K11" s="105"/>
      <c r="L11" s="617" t="s">
        <v>682</v>
      </c>
      <c r="M11" s="617"/>
      <c r="N11" s="239"/>
      <c r="O11" s="239"/>
      <c r="P11" s="239"/>
      <c r="Q11" s="617" t="s">
        <v>681</v>
      </c>
      <c r="R11" s="617"/>
      <c r="S11" s="239"/>
      <c r="T11" s="239"/>
      <c r="U11" s="239"/>
      <c r="V11" s="617" t="s">
        <v>680</v>
      </c>
      <c r="W11" s="617"/>
      <c r="AA11" s="617" t="s">
        <v>679</v>
      </c>
      <c r="AB11" s="617"/>
    </row>
    <row r="12" spans="1:32" ht="27" x14ac:dyDescent="0.2">
      <c r="A12" s="106" t="s">
        <v>488</v>
      </c>
      <c r="B12" s="106" t="s">
        <v>491</v>
      </c>
      <c r="C12" s="106" t="s">
        <v>492</v>
      </c>
      <c r="D12" s="106" t="s">
        <v>493</v>
      </c>
      <c r="E12" s="105"/>
      <c r="F12" s="105"/>
      <c r="G12" s="376" t="s">
        <v>674</v>
      </c>
      <c r="H12" s="376" t="s">
        <v>494</v>
      </c>
      <c r="I12" s="376" t="s">
        <v>495</v>
      </c>
      <c r="J12" s="376" t="s">
        <v>496</v>
      </c>
      <c r="K12" s="105"/>
      <c r="L12" s="244" t="s">
        <v>674</v>
      </c>
      <c r="M12" s="245" t="s">
        <v>676</v>
      </c>
      <c r="N12" s="245" t="s">
        <v>677</v>
      </c>
      <c r="O12" s="245" t="s">
        <v>678</v>
      </c>
      <c r="P12" s="105"/>
      <c r="Q12" s="115" t="s">
        <v>675</v>
      </c>
      <c r="R12" s="109" t="s">
        <v>676</v>
      </c>
      <c r="S12" s="109" t="s">
        <v>677</v>
      </c>
      <c r="T12" s="109" t="s">
        <v>678</v>
      </c>
      <c r="U12" s="105"/>
      <c r="V12" s="246" t="s">
        <v>674</v>
      </c>
      <c r="W12" s="110" t="s">
        <v>676</v>
      </c>
      <c r="X12" s="110" t="s">
        <v>677</v>
      </c>
      <c r="Y12" s="110" t="s">
        <v>678</v>
      </c>
      <c r="Z12" s="105"/>
      <c r="AA12" s="248" t="s">
        <v>674</v>
      </c>
      <c r="AB12" s="112" t="s">
        <v>676</v>
      </c>
      <c r="AC12" s="112" t="s">
        <v>677</v>
      </c>
      <c r="AD12" s="112" t="s">
        <v>678</v>
      </c>
    </row>
    <row r="13" spans="1:32" x14ac:dyDescent="0.2">
      <c r="A13" s="107">
        <v>62</v>
      </c>
      <c r="B13" s="108">
        <v>9.58E-3</v>
      </c>
      <c r="C13" s="107">
        <v>69</v>
      </c>
      <c r="D13" s="108">
        <v>1.1665E-2</v>
      </c>
      <c r="E13" s="240"/>
      <c r="F13" s="240"/>
      <c r="G13" s="107">
        <v>62</v>
      </c>
      <c r="H13" s="117">
        <f t="shared" ref="H13:H53" si="0">MIN(B13*smr_noevent,1)</f>
        <v>1.916E-2</v>
      </c>
      <c r="I13" s="117">
        <f t="shared" ref="I13:I53" si="1">MIN(D13*smr_noevent, 1)</f>
        <v>2.333E-2</v>
      </c>
      <c r="J13" s="117">
        <f t="shared" ref="J13:J53" si="2">(H13*male_proportion_STEMI)+(I13*(1-male_proportion_STEMI))</f>
        <v>2.0202500000000002E-2</v>
      </c>
      <c r="K13" s="105"/>
      <c r="L13" s="107">
        <v>62</v>
      </c>
      <c r="M13" s="244">
        <f t="shared" ref="M13" si="3">MIN(B13*smr_rinfar, 1)</f>
        <v>4.3110000000000002E-2</v>
      </c>
      <c r="N13" s="244">
        <f t="shared" ref="N13" si="4">MIN(D13*smr_rinfar,1)</f>
        <v>5.2492499999999997E-2</v>
      </c>
      <c r="O13" s="244">
        <f t="shared" ref="O13" si="5">MIN((M13*male_proportion_STEMI)+(N13*(1 - male_proportion_STEMI)), 1)</f>
        <v>4.5455625E-2</v>
      </c>
      <c r="P13" s="105"/>
      <c r="Q13" s="107">
        <v>62</v>
      </c>
      <c r="R13" s="116">
        <f t="shared" ref="R13" si="6">MIN(B13*smr_post_rinfar,1)</f>
        <v>2.8740000000000002E-2</v>
      </c>
      <c r="S13" s="116">
        <f t="shared" ref="S13" si="7">MIN(D13*smr_post_rinfar, 1)</f>
        <v>3.4994999999999998E-2</v>
      </c>
      <c r="T13" s="116">
        <f t="shared" ref="T13" si="8">(R13*male_proportion_STEMI)+(S13*(1-male_proportion_STEMI))</f>
        <v>3.0303750000000001E-2</v>
      </c>
      <c r="U13" s="105"/>
      <c r="V13" s="107">
        <v>62</v>
      </c>
      <c r="W13" s="247">
        <f t="shared" ref="W13" si="9">MIN(B13*smr_stk, 1)</f>
        <v>4.5313400000000004E-2</v>
      </c>
      <c r="X13" s="247">
        <f t="shared" ref="X13" si="10">MIN(D13*smr_stk, 1)</f>
        <v>5.5175450000000008E-2</v>
      </c>
      <c r="Y13" s="247">
        <f t="shared" ref="Y13" si="11">(W13*male_proportion_STEMI)+(X13*(1-male_proportion_STEMI))</f>
        <v>4.7778912500000006E-2</v>
      </c>
      <c r="Z13" s="105"/>
      <c r="AA13" s="107">
        <v>62</v>
      </c>
      <c r="AB13" s="249">
        <f t="shared" ref="AB13" si="12">MIN(B13*smr_post_stk, 1)</f>
        <v>2.2225599999999998E-2</v>
      </c>
      <c r="AC13" s="249">
        <f t="shared" ref="AC13" si="13">MIN(D13*smr_post_stk, 1)</f>
        <v>2.7062799999999998E-2</v>
      </c>
      <c r="AD13" s="249">
        <f t="shared" ref="AD13" si="14">(AB13*male_proportion_STEMI)+(AC13*(1-male_proportion_STEMI))</f>
        <v>2.3434899999999998E-2</v>
      </c>
      <c r="AE13" s="111"/>
      <c r="AF13" s="111"/>
    </row>
    <row r="14" spans="1:32" x14ac:dyDescent="0.2">
      <c r="A14" s="107">
        <v>63</v>
      </c>
      <c r="B14" s="108">
        <v>1.0363000000000001E-2</v>
      </c>
      <c r="C14" s="107">
        <v>70</v>
      </c>
      <c r="D14" s="108">
        <v>1.298E-2</v>
      </c>
      <c r="E14" s="240"/>
      <c r="F14" s="240"/>
      <c r="G14" s="107">
        <v>63</v>
      </c>
      <c r="H14" s="117">
        <f t="shared" si="0"/>
        <v>2.0726000000000001E-2</v>
      </c>
      <c r="I14" s="117">
        <f t="shared" si="1"/>
        <v>2.596E-2</v>
      </c>
      <c r="J14" s="117">
        <f t="shared" si="2"/>
        <v>2.2034500000000002E-2</v>
      </c>
      <c r="K14" s="226"/>
      <c r="L14" s="107">
        <v>63</v>
      </c>
      <c r="M14" s="244">
        <f t="shared" ref="M14:M53" si="15">MIN(B14*smr_rinfar, 1)</f>
        <v>4.6633500000000001E-2</v>
      </c>
      <c r="N14" s="244">
        <f t="shared" ref="N14:N53" si="16">MIN(D14*smr_rinfar,1)</f>
        <v>5.8410000000000004E-2</v>
      </c>
      <c r="O14" s="244">
        <f t="shared" ref="O14:O53" si="17">MIN((M14*male_proportion_STEMI)+(N14*(1 - male_proportion_STEMI)), 1)</f>
        <v>4.9577625E-2</v>
      </c>
      <c r="P14" s="226"/>
      <c r="Q14" s="107">
        <v>63</v>
      </c>
      <c r="R14" s="116">
        <f t="shared" ref="R14:R53" si="18">MIN(B14*smr_post_rinfar,1)</f>
        <v>3.1089000000000002E-2</v>
      </c>
      <c r="S14" s="116">
        <f t="shared" ref="S14:S53" si="19">MIN(D14*smr_post_rinfar, 1)</f>
        <v>3.8940000000000002E-2</v>
      </c>
      <c r="T14" s="116">
        <f t="shared" ref="T14:T53" si="20">(R14*male_proportion_STEMI)+(S14*(1-male_proportion_STEMI))</f>
        <v>3.3051750000000005E-2</v>
      </c>
      <c r="U14" s="226"/>
      <c r="V14" s="107">
        <v>63</v>
      </c>
      <c r="W14" s="247">
        <f t="shared" ref="W14:W53" si="21">MIN(B14*smr_stk, 1)</f>
        <v>4.901699000000001E-2</v>
      </c>
      <c r="X14" s="247">
        <f t="shared" ref="X14:X53" si="22">MIN(D14*smr_stk, 1)</f>
        <v>6.139540000000001E-2</v>
      </c>
      <c r="Y14" s="247">
        <f t="shared" ref="Y14:Y53" si="23">(W14*male_proportion_STEMI)+(X14*(1-male_proportion_STEMI))</f>
        <v>5.2111592500000012E-2</v>
      </c>
      <c r="Z14" s="226"/>
      <c r="AA14" s="107">
        <v>63</v>
      </c>
      <c r="AB14" s="249">
        <f t="shared" ref="AB14:AB53" si="24">MIN(B14*smr_post_stk, 1)</f>
        <v>2.404216E-2</v>
      </c>
      <c r="AC14" s="249">
        <f t="shared" ref="AC14:AC53" si="25">MIN(D14*smr_post_stk, 1)</f>
        <v>3.0113599999999997E-2</v>
      </c>
      <c r="AD14" s="249">
        <f t="shared" ref="AD14:AD53" si="26">(AB14*male_proportion_STEMI)+(AC14*(1-male_proportion_STEMI))</f>
        <v>2.5560019999999996E-2</v>
      </c>
      <c r="AE14" s="111"/>
      <c r="AF14" s="111"/>
    </row>
    <row r="15" spans="1:32" x14ac:dyDescent="0.2">
      <c r="A15" s="107">
        <v>64</v>
      </c>
      <c r="B15" s="108">
        <v>1.1379999999999999E-2</v>
      </c>
      <c r="C15" s="107">
        <v>71</v>
      </c>
      <c r="D15" s="108">
        <v>1.3979999999999999E-2</v>
      </c>
      <c r="E15" s="240"/>
      <c r="F15" s="240"/>
      <c r="G15" s="107">
        <v>64</v>
      </c>
      <c r="H15" s="117">
        <f t="shared" si="0"/>
        <v>2.2759999999999999E-2</v>
      </c>
      <c r="I15" s="117">
        <f t="shared" si="1"/>
        <v>2.7959999999999999E-2</v>
      </c>
      <c r="J15" s="117">
        <f t="shared" si="2"/>
        <v>2.4059999999999998E-2</v>
      </c>
      <c r="K15" s="226"/>
      <c r="L15" s="107">
        <v>64</v>
      </c>
      <c r="M15" s="244">
        <f t="shared" si="15"/>
        <v>5.1209999999999999E-2</v>
      </c>
      <c r="N15" s="244">
        <f t="shared" si="16"/>
        <v>6.2909999999999994E-2</v>
      </c>
      <c r="O15" s="244">
        <f t="shared" si="17"/>
        <v>5.4134999999999996E-2</v>
      </c>
      <c r="P15" s="226"/>
      <c r="Q15" s="107">
        <v>64</v>
      </c>
      <c r="R15" s="116">
        <f t="shared" si="18"/>
        <v>3.4139999999999997E-2</v>
      </c>
      <c r="S15" s="116">
        <f t="shared" si="19"/>
        <v>4.1939999999999998E-2</v>
      </c>
      <c r="T15" s="116">
        <f t="shared" si="20"/>
        <v>3.6089999999999997E-2</v>
      </c>
      <c r="U15" s="226"/>
      <c r="V15" s="107">
        <v>64</v>
      </c>
      <c r="W15" s="247">
        <f t="shared" si="21"/>
        <v>5.3827400000000004E-2</v>
      </c>
      <c r="X15" s="247">
        <f>MIN(D15*smr_stk, 1)</f>
        <v>6.6125400000000001E-2</v>
      </c>
      <c r="Y15" s="247">
        <f t="shared" si="23"/>
        <v>5.6901900000000005E-2</v>
      </c>
      <c r="Z15" s="226"/>
      <c r="AA15" s="107">
        <v>64</v>
      </c>
      <c r="AB15" s="249">
        <f t="shared" si="24"/>
        <v>2.6401599999999997E-2</v>
      </c>
      <c r="AC15" s="249">
        <f t="shared" si="25"/>
        <v>3.2433599999999993E-2</v>
      </c>
      <c r="AD15" s="249">
        <f t="shared" si="26"/>
        <v>2.7909599999999996E-2</v>
      </c>
      <c r="AE15" s="111"/>
      <c r="AF15" s="111"/>
    </row>
    <row r="16" spans="1:32" x14ac:dyDescent="0.2">
      <c r="A16" s="107">
        <v>65</v>
      </c>
      <c r="B16" s="108">
        <v>1.2389000000000001E-2</v>
      </c>
      <c r="C16" s="107">
        <v>72</v>
      </c>
      <c r="D16" s="108">
        <v>1.5350000000000001E-2</v>
      </c>
      <c r="E16" s="240"/>
      <c r="F16" s="240"/>
      <c r="G16" s="107">
        <v>65</v>
      </c>
      <c r="H16" s="117">
        <f t="shared" si="0"/>
        <v>2.4778000000000001E-2</v>
      </c>
      <c r="I16" s="117">
        <f t="shared" si="1"/>
        <v>3.0700000000000002E-2</v>
      </c>
      <c r="J16" s="117">
        <f t="shared" si="2"/>
        <v>2.6258500000000004E-2</v>
      </c>
      <c r="K16" s="226"/>
      <c r="L16" s="107">
        <v>65</v>
      </c>
      <c r="M16" s="244">
        <f t="shared" si="15"/>
        <v>5.5750500000000001E-2</v>
      </c>
      <c r="N16" s="244">
        <f t="shared" si="16"/>
        <v>6.9074999999999998E-2</v>
      </c>
      <c r="O16" s="244">
        <f t="shared" si="17"/>
        <v>5.9081624999999999E-2</v>
      </c>
      <c r="P16" s="226"/>
      <c r="Q16" s="107">
        <v>65</v>
      </c>
      <c r="R16" s="116">
        <f t="shared" si="18"/>
        <v>3.7167000000000006E-2</v>
      </c>
      <c r="S16" s="116">
        <f t="shared" si="19"/>
        <v>4.6050000000000001E-2</v>
      </c>
      <c r="T16" s="116">
        <f t="shared" si="20"/>
        <v>3.9387750000000006E-2</v>
      </c>
      <c r="U16" s="226"/>
      <c r="V16" s="107">
        <v>65</v>
      </c>
      <c r="W16" s="247">
        <f t="shared" si="21"/>
        <v>5.8599970000000008E-2</v>
      </c>
      <c r="X16" s="247">
        <f t="shared" si="22"/>
        <v>7.2605500000000017E-2</v>
      </c>
      <c r="Y16" s="247">
        <f t="shared" si="23"/>
        <v>6.2101352500000012E-2</v>
      </c>
      <c r="Z16" s="226"/>
      <c r="AA16" s="107">
        <v>65</v>
      </c>
      <c r="AB16" s="249">
        <f t="shared" si="24"/>
        <v>2.8742480000000001E-2</v>
      </c>
      <c r="AC16" s="249">
        <f t="shared" si="25"/>
        <v>3.5611999999999998E-2</v>
      </c>
      <c r="AD16" s="249">
        <f t="shared" si="26"/>
        <v>3.0459859999999998E-2</v>
      </c>
      <c r="AE16" s="111"/>
      <c r="AF16" s="111"/>
    </row>
    <row r="17" spans="1:32" x14ac:dyDescent="0.2">
      <c r="A17" s="107">
        <v>66</v>
      </c>
      <c r="B17" s="108">
        <v>1.3665999999999999E-2</v>
      </c>
      <c r="C17" s="107">
        <v>73</v>
      </c>
      <c r="D17" s="108">
        <v>1.6933E-2</v>
      </c>
      <c r="E17" s="240"/>
      <c r="F17" s="240"/>
      <c r="G17" s="107">
        <v>66</v>
      </c>
      <c r="H17" s="117">
        <f t="shared" si="0"/>
        <v>2.7331999999999999E-2</v>
      </c>
      <c r="I17" s="117">
        <f t="shared" si="1"/>
        <v>3.3866E-2</v>
      </c>
      <c r="J17" s="117">
        <f t="shared" si="2"/>
        <v>2.8965499999999998E-2</v>
      </c>
      <c r="K17" s="226"/>
      <c r="L17" s="107">
        <v>66</v>
      </c>
      <c r="M17" s="244">
        <f t="shared" si="15"/>
        <v>6.1496999999999996E-2</v>
      </c>
      <c r="N17" s="244">
        <f t="shared" si="16"/>
        <v>7.6198500000000002E-2</v>
      </c>
      <c r="O17" s="244">
        <f t="shared" si="17"/>
        <v>6.5172375000000005E-2</v>
      </c>
      <c r="P17" s="226"/>
      <c r="Q17" s="107">
        <v>66</v>
      </c>
      <c r="R17" s="116">
        <f t="shared" si="18"/>
        <v>4.0998E-2</v>
      </c>
      <c r="S17" s="116">
        <f t="shared" si="19"/>
        <v>5.0798999999999997E-2</v>
      </c>
      <c r="T17" s="116">
        <f t="shared" si="20"/>
        <v>4.3448249999999994E-2</v>
      </c>
      <c r="U17" s="226"/>
      <c r="V17" s="107">
        <v>66</v>
      </c>
      <c r="W17" s="247">
        <f t="shared" si="21"/>
        <v>6.4640180000000005E-2</v>
      </c>
      <c r="X17" s="247">
        <f t="shared" si="22"/>
        <v>8.0093090000000006E-2</v>
      </c>
      <c r="Y17" s="247">
        <f t="shared" si="23"/>
        <v>6.8503407500000002E-2</v>
      </c>
      <c r="Z17" s="226"/>
      <c r="AA17" s="107">
        <v>66</v>
      </c>
      <c r="AB17" s="249">
        <f t="shared" si="24"/>
        <v>3.1705119999999996E-2</v>
      </c>
      <c r="AC17" s="249">
        <f t="shared" si="25"/>
        <v>3.9284559999999996E-2</v>
      </c>
      <c r="AD17" s="249">
        <f t="shared" si="26"/>
        <v>3.3599979999999995E-2</v>
      </c>
      <c r="AE17" s="111"/>
      <c r="AF17" s="111"/>
    </row>
    <row r="18" spans="1:32" x14ac:dyDescent="0.2">
      <c r="A18" s="107">
        <v>67</v>
      </c>
      <c r="B18" s="108">
        <v>1.5075E-2</v>
      </c>
      <c r="C18" s="107">
        <v>74</v>
      </c>
      <c r="D18" s="108">
        <v>1.8619E-2</v>
      </c>
      <c r="E18" s="240"/>
      <c r="F18" s="240"/>
      <c r="G18" s="107">
        <v>67</v>
      </c>
      <c r="H18" s="117">
        <f t="shared" si="0"/>
        <v>3.015E-2</v>
      </c>
      <c r="I18" s="117">
        <f t="shared" si="1"/>
        <v>3.7238E-2</v>
      </c>
      <c r="J18" s="117">
        <f t="shared" si="2"/>
        <v>3.1921999999999999E-2</v>
      </c>
      <c r="K18" s="226"/>
      <c r="L18" s="107">
        <v>67</v>
      </c>
      <c r="M18" s="244">
        <f t="shared" si="15"/>
        <v>6.7837499999999995E-2</v>
      </c>
      <c r="N18" s="244">
        <f t="shared" si="16"/>
        <v>8.3785499999999999E-2</v>
      </c>
      <c r="O18" s="244">
        <f t="shared" si="17"/>
        <v>7.1824499999999999E-2</v>
      </c>
      <c r="P18" s="226"/>
      <c r="Q18" s="107">
        <v>67</v>
      </c>
      <c r="R18" s="116">
        <f t="shared" si="18"/>
        <v>4.5225000000000001E-2</v>
      </c>
      <c r="S18" s="116">
        <f t="shared" si="19"/>
        <v>5.5857000000000004E-2</v>
      </c>
      <c r="T18" s="116">
        <f t="shared" si="20"/>
        <v>4.7882999999999995E-2</v>
      </c>
      <c r="U18" s="226"/>
      <c r="V18" s="107">
        <v>67</v>
      </c>
      <c r="W18" s="247">
        <f t="shared" si="21"/>
        <v>7.130475E-2</v>
      </c>
      <c r="X18" s="247">
        <f t="shared" si="22"/>
        <v>8.8067870000000006E-2</v>
      </c>
      <c r="Y18" s="247">
        <f t="shared" si="23"/>
        <v>7.5495530000000005E-2</v>
      </c>
      <c r="Z18" s="226"/>
      <c r="AA18" s="107">
        <v>67</v>
      </c>
      <c r="AB18" s="249">
        <f t="shared" si="24"/>
        <v>3.4973999999999998E-2</v>
      </c>
      <c r="AC18" s="249">
        <f t="shared" si="25"/>
        <v>4.3196079999999998E-2</v>
      </c>
      <c r="AD18" s="249">
        <f t="shared" si="26"/>
        <v>3.7029519999999996E-2</v>
      </c>
      <c r="AE18" s="111"/>
      <c r="AF18" s="111"/>
    </row>
    <row r="19" spans="1:32" x14ac:dyDescent="0.2">
      <c r="A19" s="107">
        <v>68</v>
      </c>
      <c r="B19" s="108">
        <v>1.6594000000000001E-2</v>
      </c>
      <c r="C19" s="107">
        <v>75</v>
      </c>
      <c r="D19" s="108">
        <v>2.1062999999999998E-2</v>
      </c>
      <c r="E19" s="240"/>
      <c r="F19" s="240"/>
      <c r="G19" s="107">
        <v>68</v>
      </c>
      <c r="H19" s="117">
        <f t="shared" si="0"/>
        <v>3.3188000000000002E-2</v>
      </c>
      <c r="I19" s="117">
        <f t="shared" si="1"/>
        <v>4.2125999999999997E-2</v>
      </c>
      <c r="J19" s="117">
        <f t="shared" si="2"/>
        <v>3.5422500000000003E-2</v>
      </c>
      <c r="K19" s="226"/>
      <c r="L19" s="107">
        <v>68</v>
      </c>
      <c r="M19" s="244">
        <f t="shared" si="15"/>
        <v>7.4673000000000003E-2</v>
      </c>
      <c r="N19" s="244">
        <f t="shared" si="16"/>
        <v>9.4783499999999993E-2</v>
      </c>
      <c r="O19" s="244">
        <f t="shared" si="17"/>
        <v>7.9700624999999997E-2</v>
      </c>
      <c r="P19" s="226"/>
      <c r="Q19" s="107">
        <v>68</v>
      </c>
      <c r="R19" s="116">
        <f t="shared" si="18"/>
        <v>4.9782000000000007E-2</v>
      </c>
      <c r="S19" s="116">
        <f t="shared" si="19"/>
        <v>6.3188999999999995E-2</v>
      </c>
      <c r="T19" s="116">
        <f t="shared" si="20"/>
        <v>5.3133750000000007E-2</v>
      </c>
      <c r="U19" s="226"/>
      <c r="V19" s="107">
        <v>68</v>
      </c>
      <c r="W19" s="247">
        <f t="shared" si="21"/>
        <v>7.848962000000001E-2</v>
      </c>
      <c r="X19" s="247">
        <f t="shared" si="22"/>
        <v>9.962799E-2</v>
      </c>
      <c r="Y19" s="247">
        <f t="shared" si="23"/>
        <v>8.37742125E-2</v>
      </c>
      <c r="Z19" s="226"/>
      <c r="AA19" s="107">
        <v>68</v>
      </c>
      <c r="AB19" s="249">
        <f t="shared" si="24"/>
        <v>3.8498079999999997E-2</v>
      </c>
      <c r="AC19" s="249">
        <f t="shared" si="25"/>
        <v>4.8866159999999992E-2</v>
      </c>
      <c r="AD19" s="249">
        <f t="shared" si="26"/>
        <v>4.1090099999999997E-2</v>
      </c>
      <c r="AE19" s="111"/>
      <c r="AF19" s="111"/>
    </row>
    <row r="20" spans="1:32" x14ac:dyDescent="0.2">
      <c r="A20" s="107">
        <v>69</v>
      </c>
      <c r="B20" s="108">
        <v>1.7954000000000001E-2</v>
      </c>
      <c r="C20" s="107">
        <v>76</v>
      </c>
      <c r="D20" s="108">
        <v>2.3411000000000001E-2</v>
      </c>
      <c r="E20" s="240"/>
      <c r="F20" s="240"/>
      <c r="G20" s="107">
        <v>69</v>
      </c>
      <c r="H20" s="117">
        <f t="shared" si="0"/>
        <v>3.5908000000000002E-2</v>
      </c>
      <c r="I20" s="117">
        <f t="shared" si="1"/>
        <v>4.6822000000000003E-2</v>
      </c>
      <c r="J20" s="117">
        <f t="shared" si="2"/>
        <v>3.8636500000000004E-2</v>
      </c>
      <c r="K20" s="226"/>
      <c r="L20" s="107">
        <v>69</v>
      </c>
      <c r="M20" s="244">
        <f t="shared" si="15"/>
        <v>8.0793000000000004E-2</v>
      </c>
      <c r="N20" s="244">
        <f t="shared" si="16"/>
        <v>0.10534950000000001</v>
      </c>
      <c r="O20" s="244">
        <f t="shared" si="17"/>
        <v>8.6932124999999999E-2</v>
      </c>
      <c r="P20" s="226"/>
      <c r="Q20" s="107">
        <v>69</v>
      </c>
      <c r="R20" s="116">
        <f t="shared" si="18"/>
        <v>5.3862000000000007E-2</v>
      </c>
      <c r="S20" s="116">
        <f t="shared" si="19"/>
        <v>7.0233000000000004E-2</v>
      </c>
      <c r="T20" s="116">
        <f t="shared" si="20"/>
        <v>5.7954749999999999E-2</v>
      </c>
      <c r="U20" s="226"/>
      <c r="V20" s="107">
        <v>69</v>
      </c>
      <c r="W20" s="247">
        <f t="shared" si="21"/>
        <v>8.4922420000000012E-2</v>
      </c>
      <c r="X20" s="247">
        <f t="shared" si="22"/>
        <v>0.11073403000000001</v>
      </c>
      <c r="Y20" s="247">
        <f t="shared" si="23"/>
        <v>9.1375322500000022E-2</v>
      </c>
      <c r="Z20" s="226"/>
      <c r="AA20" s="107">
        <v>69</v>
      </c>
      <c r="AB20" s="249">
        <f t="shared" si="24"/>
        <v>4.1653280000000001E-2</v>
      </c>
      <c r="AC20" s="249">
        <f t="shared" si="25"/>
        <v>5.4313519999999997E-2</v>
      </c>
      <c r="AD20" s="249">
        <f t="shared" si="26"/>
        <v>4.4818339999999998E-2</v>
      </c>
      <c r="AE20" s="111"/>
      <c r="AF20" s="111"/>
    </row>
    <row r="21" spans="1:32" x14ac:dyDescent="0.2">
      <c r="A21" s="107">
        <v>70</v>
      </c>
      <c r="B21" s="108">
        <v>1.9639E-2</v>
      </c>
      <c r="C21" s="107">
        <v>77</v>
      </c>
      <c r="D21" s="108">
        <v>2.6863999999999999E-2</v>
      </c>
      <c r="E21" s="240"/>
      <c r="F21" s="240"/>
      <c r="G21" s="107">
        <v>70</v>
      </c>
      <c r="H21" s="117">
        <f t="shared" si="0"/>
        <v>3.9278E-2</v>
      </c>
      <c r="I21" s="117">
        <f t="shared" si="1"/>
        <v>5.3727999999999998E-2</v>
      </c>
      <c r="J21" s="117">
        <f t="shared" si="2"/>
        <v>4.2890499999999998E-2</v>
      </c>
      <c r="K21" s="226"/>
      <c r="L21" s="107">
        <v>70</v>
      </c>
      <c r="M21" s="244">
        <f t="shared" si="15"/>
        <v>8.8375499999999996E-2</v>
      </c>
      <c r="N21" s="244">
        <f t="shared" si="16"/>
        <v>0.120888</v>
      </c>
      <c r="O21" s="244">
        <f t="shared" si="17"/>
        <v>9.6503624999999996E-2</v>
      </c>
      <c r="P21" s="226"/>
      <c r="Q21" s="107">
        <v>70</v>
      </c>
      <c r="R21" s="116">
        <f t="shared" si="18"/>
        <v>5.8916999999999997E-2</v>
      </c>
      <c r="S21" s="116">
        <f t="shared" si="19"/>
        <v>8.0591999999999997E-2</v>
      </c>
      <c r="T21" s="116">
        <f t="shared" si="20"/>
        <v>6.4335749999999997E-2</v>
      </c>
      <c r="U21" s="226"/>
      <c r="V21" s="107">
        <v>70</v>
      </c>
      <c r="W21" s="247">
        <f t="shared" si="21"/>
        <v>9.2892470000000005E-2</v>
      </c>
      <c r="X21" s="247">
        <f t="shared" si="22"/>
        <v>0.12706671999999999</v>
      </c>
      <c r="Y21" s="247">
        <f t="shared" si="23"/>
        <v>0.1014360325</v>
      </c>
      <c r="Z21" s="226"/>
      <c r="AA21" s="107">
        <v>70</v>
      </c>
      <c r="AB21" s="249">
        <f t="shared" si="24"/>
        <v>4.5562479999999995E-2</v>
      </c>
      <c r="AC21" s="249">
        <f t="shared" si="25"/>
        <v>6.2324479999999995E-2</v>
      </c>
      <c r="AD21" s="249">
        <f t="shared" si="26"/>
        <v>4.9752979999999995E-2</v>
      </c>
      <c r="AE21" s="111"/>
      <c r="AF21" s="111"/>
    </row>
    <row r="22" spans="1:32" x14ac:dyDescent="0.2">
      <c r="A22" s="107">
        <v>71</v>
      </c>
      <c r="B22" s="108">
        <v>2.1509E-2</v>
      </c>
      <c r="C22" s="107">
        <v>78</v>
      </c>
      <c r="D22" s="108">
        <v>3.0072999999999999E-2</v>
      </c>
      <c r="E22" s="240"/>
      <c r="F22" s="240"/>
      <c r="G22" s="107">
        <v>71</v>
      </c>
      <c r="H22" s="117">
        <f t="shared" si="0"/>
        <v>4.3018000000000001E-2</v>
      </c>
      <c r="I22" s="117">
        <f t="shared" si="1"/>
        <v>6.0145999999999998E-2</v>
      </c>
      <c r="J22" s="117">
        <f t="shared" si="2"/>
        <v>4.7300000000000002E-2</v>
      </c>
      <c r="K22" s="226"/>
      <c r="L22" s="107">
        <v>71</v>
      </c>
      <c r="M22" s="244">
        <f t="shared" si="15"/>
        <v>9.6790500000000002E-2</v>
      </c>
      <c r="N22" s="244">
        <f t="shared" si="16"/>
        <v>0.13532849999999999</v>
      </c>
      <c r="O22" s="244">
        <f t="shared" si="17"/>
        <v>0.10642499999999999</v>
      </c>
      <c r="P22" s="226"/>
      <c r="Q22" s="107">
        <v>71</v>
      </c>
      <c r="R22" s="116">
        <f t="shared" si="18"/>
        <v>6.4527000000000001E-2</v>
      </c>
      <c r="S22" s="116">
        <f t="shared" si="19"/>
        <v>9.0218999999999994E-2</v>
      </c>
      <c r="T22" s="116">
        <f t="shared" si="20"/>
        <v>7.0949999999999999E-2</v>
      </c>
      <c r="U22" s="226"/>
      <c r="V22" s="107">
        <v>71</v>
      </c>
      <c r="W22" s="247">
        <f t="shared" si="21"/>
        <v>0.10173757000000001</v>
      </c>
      <c r="X22" s="247">
        <f t="shared" si="22"/>
        <v>0.14224529</v>
      </c>
      <c r="Y22" s="247">
        <f t="shared" si="23"/>
        <v>0.11186450000000001</v>
      </c>
      <c r="Z22" s="226"/>
      <c r="AA22" s="107">
        <v>71</v>
      </c>
      <c r="AB22" s="249">
        <f t="shared" si="24"/>
        <v>4.9900879999999995E-2</v>
      </c>
      <c r="AC22" s="249">
        <f t="shared" si="25"/>
        <v>6.9769359999999989E-2</v>
      </c>
      <c r="AD22" s="249">
        <f t="shared" si="26"/>
        <v>5.4868E-2</v>
      </c>
      <c r="AE22" s="111"/>
      <c r="AF22" s="111"/>
    </row>
    <row r="23" spans="1:32" x14ac:dyDescent="0.2">
      <c r="A23" s="107">
        <v>72</v>
      </c>
      <c r="B23" s="108">
        <v>2.3699000000000001E-2</v>
      </c>
      <c r="C23" s="107">
        <v>79</v>
      </c>
      <c r="D23" s="108">
        <v>3.3678E-2</v>
      </c>
      <c r="E23" s="240"/>
      <c r="F23" s="240"/>
      <c r="G23" s="107">
        <v>72</v>
      </c>
      <c r="H23" s="117">
        <f t="shared" si="0"/>
        <v>4.7398000000000003E-2</v>
      </c>
      <c r="I23" s="117">
        <f t="shared" si="1"/>
        <v>6.7355999999999999E-2</v>
      </c>
      <c r="J23" s="117">
        <f t="shared" si="2"/>
        <v>5.2387500000000004E-2</v>
      </c>
      <c r="K23" s="226"/>
      <c r="L23" s="107">
        <v>72</v>
      </c>
      <c r="M23" s="244">
        <f t="shared" si="15"/>
        <v>0.1066455</v>
      </c>
      <c r="N23" s="244">
        <f t="shared" si="16"/>
        <v>0.15155099999999999</v>
      </c>
      <c r="O23" s="244">
        <f t="shared" si="17"/>
        <v>0.117871875</v>
      </c>
      <c r="P23" s="226"/>
      <c r="Q23" s="107">
        <v>72</v>
      </c>
      <c r="R23" s="116">
        <f t="shared" si="18"/>
        <v>7.1097000000000007E-2</v>
      </c>
      <c r="S23" s="116">
        <f t="shared" si="19"/>
        <v>0.101034</v>
      </c>
      <c r="T23" s="116">
        <f t="shared" si="20"/>
        <v>7.8581250000000005E-2</v>
      </c>
      <c r="U23" s="226"/>
      <c r="V23" s="107">
        <v>72</v>
      </c>
      <c r="W23" s="247">
        <f t="shared" si="21"/>
        <v>0.11209627000000001</v>
      </c>
      <c r="X23" s="247">
        <f t="shared" si="22"/>
        <v>0.15929694000000003</v>
      </c>
      <c r="Y23" s="247">
        <f t="shared" si="23"/>
        <v>0.12389643750000001</v>
      </c>
      <c r="Z23" s="226"/>
      <c r="AA23" s="107">
        <v>72</v>
      </c>
      <c r="AB23" s="249">
        <f t="shared" si="24"/>
        <v>5.4981679999999998E-2</v>
      </c>
      <c r="AC23" s="249">
        <f t="shared" si="25"/>
        <v>7.8132959999999987E-2</v>
      </c>
      <c r="AD23" s="249">
        <f t="shared" si="26"/>
        <v>6.076949999999999E-2</v>
      </c>
      <c r="AE23" s="111"/>
      <c r="AF23" s="111"/>
    </row>
    <row r="24" spans="1:32" x14ac:dyDescent="0.2">
      <c r="A24" s="107">
        <v>73</v>
      </c>
      <c r="B24" s="108">
        <v>2.5409999999999999E-2</v>
      </c>
      <c r="C24" s="107">
        <v>80</v>
      </c>
      <c r="D24" s="108">
        <v>3.9002000000000002E-2</v>
      </c>
      <c r="E24" s="240"/>
      <c r="F24" s="240"/>
      <c r="G24" s="107">
        <v>73</v>
      </c>
      <c r="H24" s="117">
        <f t="shared" si="0"/>
        <v>5.0819999999999997E-2</v>
      </c>
      <c r="I24" s="117">
        <f t="shared" si="1"/>
        <v>7.8004000000000004E-2</v>
      </c>
      <c r="J24" s="117">
        <f t="shared" si="2"/>
        <v>5.7616000000000001E-2</v>
      </c>
      <c r="K24" s="226"/>
      <c r="L24" s="107">
        <v>73</v>
      </c>
      <c r="M24" s="244">
        <f t="shared" si="15"/>
        <v>0.11434499999999999</v>
      </c>
      <c r="N24" s="244">
        <f t="shared" si="16"/>
        <v>0.175509</v>
      </c>
      <c r="O24" s="244">
        <f t="shared" si="17"/>
        <v>0.129636</v>
      </c>
      <c r="P24" s="226"/>
      <c r="Q24" s="107">
        <v>73</v>
      </c>
      <c r="R24" s="116">
        <f t="shared" si="18"/>
        <v>7.6229999999999992E-2</v>
      </c>
      <c r="S24" s="116">
        <f t="shared" si="19"/>
        <v>0.117006</v>
      </c>
      <c r="T24" s="116">
        <f t="shared" si="20"/>
        <v>8.6424000000000001E-2</v>
      </c>
      <c r="U24" s="226"/>
      <c r="V24" s="107">
        <v>73</v>
      </c>
      <c r="W24" s="247">
        <f t="shared" si="21"/>
        <v>0.1201893</v>
      </c>
      <c r="X24" s="247">
        <f t="shared" si="22"/>
        <v>0.18447946000000004</v>
      </c>
      <c r="Y24" s="247">
        <f t="shared" si="23"/>
        <v>0.13626184000000002</v>
      </c>
      <c r="Z24" s="226"/>
      <c r="AA24" s="107">
        <v>73</v>
      </c>
      <c r="AB24" s="249">
        <f t="shared" si="24"/>
        <v>5.8951199999999995E-2</v>
      </c>
      <c r="AC24" s="249">
        <f t="shared" si="25"/>
        <v>9.0484640000000005E-2</v>
      </c>
      <c r="AD24" s="249">
        <f t="shared" si="26"/>
        <v>6.6834560000000001E-2</v>
      </c>
      <c r="AE24" s="111"/>
      <c r="AF24" s="111"/>
    </row>
    <row r="25" spans="1:32" x14ac:dyDescent="0.2">
      <c r="A25" s="107">
        <v>74</v>
      </c>
      <c r="B25" s="108">
        <v>2.7562E-2</v>
      </c>
      <c r="C25" s="107">
        <v>81</v>
      </c>
      <c r="D25" s="108">
        <v>4.4073000000000001E-2</v>
      </c>
      <c r="E25" s="240"/>
      <c r="F25" s="240"/>
      <c r="G25" s="107">
        <v>74</v>
      </c>
      <c r="H25" s="117">
        <f t="shared" si="0"/>
        <v>5.5123999999999999E-2</v>
      </c>
      <c r="I25" s="117">
        <f t="shared" si="1"/>
        <v>8.8146000000000002E-2</v>
      </c>
      <c r="J25" s="117">
        <f t="shared" si="2"/>
        <v>6.3379500000000005E-2</v>
      </c>
      <c r="K25" s="226"/>
      <c r="L25" s="107">
        <v>74</v>
      </c>
      <c r="M25" s="244">
        <f t="shared" si="15"/>
        <v>0.124029</v>
      </c>
      <c r="N25" s="244">
        <f t="shared" si="16"/>
        <v>0.19832850000000002</v>
      </c>
      <c r="O25" s="244">
        <f t="shared" si="17"/>
        <v>0.14260387499999999</v>
      </c>
      <c r="P25" s="226"/>
      <c r="Q25" s="107">
        <v>74</v>
      </c>
      <c r="R25" s="116">
        <f t="shared" si="18"/>
        <v>8.2685999999999996E-2</v>
      </c>
      <c r="S25" s="116">
        <f t="shared" si="19"/>
        <v>0.132219</v>
      </c>
      <c r="T25" s="116">
        <f t="shared" si="20"/>
        <v>9.5069249999999994E-2</v>
      </c>
      <c r="U25" s="226"/>
      <c r="V25" s="107">
        <v>74</v>
      </c>
      <c r="W25" s="247">
        <f t="shared" si="21"/>
        <v>0.13036826000000001</v>
      </c>
      <c r="X25" s="247">
        <f t="shared" si="22"/>
        <v>0.20846529000000003</v>
      </c>
      <c r="Y25" s="247">
        <f t="shared" si="23"/>
        <v>0.14989251750000002</v>
      </c>
      <c r="Z25" s="226"/>
      <c r="AA25" s="107">
        <v>74</v>
      </c>
      <c r="AB25" s="249">
        <f t="shared" si="24"/>
        <v>6.3943840000000002E-2</v>
      </c>
      <c r="AC25" s="249">
        <f t="shared" si="25"/>
        <v>0.10224936</v>
      </c>
      <c r="AD25" s="249">
        <f t="shared" si="26"/>
        <v>7.3520219999999997E-2</v>
      </c>
      <c r="AE25" s="111"/>
      <c r="AF25" s="111"/>
    </row>
    <row r="26" spans="1:32" x14ac:dyDescent="0.2">
      <c r="A26" s="107">
        <v>75</v>
      </c>
      <c r="B26" s="108">
        <v>3.0558999999999999E-2</v>
      </c>
      <c r="C26" s="107">
        <v>82</v>
      </c>
      <c r="D26" s="108">
        <v>4.9797000000000001E-2</v>
      </c>
      <c r="E26" s="240"/>
      <c r="F26" s="240"/>
      <c r="G26" s="107">
        <v>75</v>
      </c>
      <c r="H26" s="117">
        <f t="shared" si="0"/>
        <v>6.1117999999999999E-2</v>
      </c>
      <c r="I26" s="117">
        <f t="shared" si="1"/>
        <v>9.9594000000000002E-2</v>
      </c>
      <c r="J26" s="117">
        <f t="shared" si="2"/>
        <v>7.0736999999999994E-2</v>
      </c>
      <c r="K26" s="226"/>
      <c r="L26" s="107">
        <v>75</v>
      </c>
      <c r="M26" s="244">
        <f t="shared" si="15"/>
        <v>0.13751549999999998</v>
      </c>
      <c r="N26" s="244">
        <f t="shared" si="16"/>
        <v>0.22408649999999999</v>
      </c>
      <c r="O26" s="244">
        <f t="shared" si="17"/>
        <v>0.15915824999999997</v>
      </c>
      <c r="P26" s="226"/>
      <c r="Q26" s="107">
        <v>75</v>
      </c>
      <c r="R26" s="116">
        <f t="shared" si="18"/>
        <v>9.1676999999999995E-2</v>
      </c>
      <c r="S26" s="116">
        <f t="shared" si="19"/>
        <v>0.149391</v>
      </c>
      <c r="T26" s="116">
        <f t="shared" si="20"/>
        <v>0.10610549999999999</v>
      </c>
      <c r="U26" s="226"/>
      <c r="V26" s="107">
        <v>75</v>
      </c>
      <c r="W26" s="247">
        <f t="shared" si="21"/>
        <v>0.14454407</v>
      </c>
      <c r="X26" s="247">
        <f t="shared" si="22"/>
        <v>0.23553981000000002</v>
      </c>
      <c r="Y26" s="247">
        <f t="shared" si="23"/>
        <v>0.16729300499999999</v>
      </c>
      <c r="Z26" s="226"/>
      <c r="AA26" s="107">
        <v>75</v>
      </c>
      <c r="AB26" s="249">
        <f t="shared" si="24"/>
        <v>7.0896879999999995E-2</v>
      </c>
      <c r="AC26" s="249">
        <f t="shared" si="25"/>
        <v>0.11552904</v>
      </c>
      <c r="AD26" s="249">
        <f t="shared" si="26"/>
        <v>8.2054920000000003E-2</v>
      </c>
      <c r="AE26" s="111"/>
      <c r="AF26" s="111"/>
    </row>
    <row r="27" spans="1:32" x14ac:dyDescent="0.2">
      <c r="A27" s="107">
        <v>76</v>
      </c>
      <c r="B27" s="108">
        <v>3.4411999999999998E-2</v>
      </c>
      <c r="C27" s="107">
        <v>83</v>
      </c>
      <c r="D27" s="108">
        <v>5.5957E-2</v>
      </c>
      <c r="E27" s="240"/>
      <c r="F27" s="240"/>
      <c r="G27" s="107">
        <v>76</v>
      </c>
      <c r="H27" s="117">
        <f t="shared" si="0"/>
        <v>6.8823999999999996E-2</v>
      </c>
      <c r="I27" s="117">
        <f t="shared" si="1"/>
        <v>0.111914</v>
      </c>
      <c r="J27" s="117">
        <f t="shared" si="2"/>
        <v>7.9596500000000001E-2</v>
      </c>
      <c r="K27" s="226"/>
      <c r="L27" s="107">
        <v>76</v>
      </c>
      <c r="M27" s="244">
        <f t="shared" si="15"/>
        <v>0.15485399999999999</v>
      </c>
      <c r="N27" s="244">
        <f t="shared" si="16"/>
        <v>0.25180649999999999</v>
      </c>
      <c r="O27" s="244">
        <f t="shared" si="17"/>
        <v>0.17909212499999999</v>
      </c>
      <c r="P27" s="226"/>
      <c r="Q27" s="107">
        <v>76</v>
      </c>
      <c r="R27" s="116">
        <f t="shared" si="18"/>
        <v>0.10323599999999999</v>
      </c>
      <c r="S27" s="116">
        <f t="shared" si="19"/>
        <v>0.16787099999999999</v>
      </c>
      <c r="T27" s="116">
        <f t="shared" si="20"/>
        <v>0.11939474999999999</v>
      </c>
      <c r="U27" s="226"/>
      <c r="V27" s="107">
        <v>76</v>
      </c>
      <c r="W27" s="247">
        <f t="shared" si="21"/>
        <v>0.16276876000000001</v>
      </c>
      <c r="X27" s="247">
        <f t="shared" si="22"/>
        <v>0.26467661000000003</v>
      </c>
      <c r="Y27" s="247">
        <f t="shared" si="23"/>
        <v>0.18824572250000002</v>
      </c>
      <c r="Z27" s="226"/>
      <c r="AA27" s="107">
        <v>76</v>
      </c>
      <c r="AB27" s="249">
        <f t="shared" si="24"/>
        <v>7.9835839999999991E-2</v>
      </c>
      <c r="AC27" s="249">
        <f t="shared" si="25"/>
        <v>0.12982024</v>
      </c>
      <c r="AD27" s="249">
        <f t="shared" si="26"/>
        <v>9.2331940000000001E-2</v>
      </c>
      <c r="AE27" s="111"/>
      <c r="AF27" s="111"/>
    </row>
    <row r="28" spans="1:32" x14ac:dyDescent="0.2">
      <c r="A28" s="107">
        <v>77</v>
      </c>
      <c r="B28" s="108">
        <v>3.8379000000000003E-2</v>
      </c>
      <c r="C28" s="107">
        <v>84</v>
      </c>
      <c r="D28" s="108">
        <v>6.3022999999999996E-2</v>
      </c>
      <c r="E28" s="240"/>
      <c r="F28" s="240"/>
      <c r="G28" s="107">
        <v>77</v>
      </c>
      <c r="H28" s="117">
        <f t="shared" si="0"/>
        <v>7.6758000000000007E-2</v>
      </c>
      <c r="I28" s="117">
        <f t="shared" si="1"/>
        <v>0.12604599999999999</v>
      </c>
      <c r="J28" s="117">
        <f t="shared" si="2"/>
        <v>8.9080000000000006E-2</v>
      </c>
      <c r="K28" s="226"/>
      <c r="L28" s="107">
        <v>77</v>
      </c>
      <c r="M28" s="244">
        <f t="shared" si="15"/>
        <v>0.17270550000000001</v>
      </c>
      <c r="N28" s="244">
        <f t="shared" si="16"/>
        <v>0.28360350000000001</v>
      </c>
      <c r="O28" s="244">
        <f t="shared" si="17"/>
        <v>0.20043000000000002</v>
      </c>
      <c r="P28" s="226"/>
      <c r="Q28" s="107">
        <v>77</v>
      </c>
      <c r="R28" s="116">
        <f t="shared" si="18"/>
        <v>0.11513700000000002</v>
      </c>
      <c r="S28" s="116">
        <f t="shared" si="19"/>
        <v>0.18906899999999999</v>
      </c>
      <c r="T28" s="116">
        <f t="shared" si="20"/>
        <v>0.13362000000000002</v>
      </c>
      <c r="U28" s="226"/>
      <c r="V28" s="107">
        <v>77</v>
      </c>
      <c r="W28" s="247">
        <f t="shared" si="21"/>
        <v>0.18153267000000003</v>
      </c>
      <c r="X28" s="247">
        <f t="shared" si="22"/>
        <v>0.29809879</v>
      </c>
      <c r="Y28" s="247">
        <f t="shared" si="23"/>
        <v>0.21067420000000003</v>
      </c>
      <c r="Z28" s="226"/>
      <c r="AA28" s="107">
        <v>77</v>
      </c>
      <c r="AB28" s="249">
        <f t="shared" si="24"/>
        <v>8.9039279999999998E-2</v>
      </c>
      <c r="AC28" s="249">
        <f t="shared" si="25"/>
        <v>0.14621335999999999</v>
      </c>
      <c r="AD28" s="249">
        <f t="shared" si="26"/>
        <v>0.1033328</v>
      </c>
      <c r="AE28" s="111"/>
      <c r="AF28" s="111"/>
    </row>
    <row r="29" spans="1:32" x14ac:dyDescent="0.2">
      <c r="A29" s="107">
        <v>78</v>
      </c>
      <c r="B29" s="108">
        <v>4.3246E-2</v>
      </c>
      <c r="C29" s="107">
        <v>85</v>
      </c>
      <c r="D29" s="108">
        <v>7.1139999999999995E-2</v>
      </c>
      <c r="E29" s="240"/>
      <c r="F29" s="240"/>
      <c r="G29" s="107">
        <v>78</v>
      </c>
      <c r="H29" s="117">
        <f t="shared" si="0"/>
        <v>8.6491999999999999E-2</v>
      </c>
      <c r="I29" s="117">
        <f t="shared" si="1"/>
        <v>0.14227999999999999</v>
      </c>
      <c r="J29" s="117">
        <f t="shared" si="2"/>
        <v>0.100439</v>
      </c>
      <c r="K29" s="226"/>
      <c r="L29" s="107">
        <v>78</v>
      </c>
      <c r="M29" s="244">
        <f t="shared" si="15"/>
        <v>0.194607</v>
      </c>
      <c r="N29" s="244">
        <f t="shared" si="16"/>
        <v>0.32012999999999997</v>
      </c>
      <c r="O29" s="244">
        <f t="shared" si="17"/>
        <v>0.22598774999999999</v>
      </c>
      <c r="P29" s="226"/>
      <c r="Q29" s="107">
        <v>78</v>
      </c>
      <c r="R29" s="116">
        <f t="shared" si="18"/>
        <v>0.12973799999999999</v>
      </c>
      <c r="S29" s="116">
        <f t="shared" si="19"/>
        <v>0.21342</v>
      </c>
      <c r="T29" s="116">
        <f t="shared" si="20"/>
        <v>0.15065849999999997</v>
      </c>
      <c r="U29" s="226"/>
      <c r="V29" s="107">
        <v>78</v>
      </c>
      <c r="W29" s="247">
        <f t="shared" si="21"/>
        <v>0.20455358000000001</v>
      </c>
      <c r="X29" s="247">
        <f t="shared" si="22"/>
        <v>0.33649220000000002</v>
      </c>
      <c r="Y29" s="247">
        <f t="shared" si="23"/>
        <v>0.23753823500000001</v>
      </c>
      <c r="Z29" s="226"/>
      <c r="AA29" s="107">
        <v>78</v>
      </c>
      <c r="AB29" s="249">
        <f t="shared" si="24"/>
        <v>0.10033072</v>
      </c>
      <c r="AC29" s="249">
        <f t="shared" si="25"/>
        <v>0.16504479999999996</v>
      </c>
      <c r="AD29" s="249">
        <f t="shared" si="26"/>
        <v>0.11650923999999999</v>
      </c>
      <c r="AE29" s="111"/>
      <c r="AF29" s="111"/>
    </row>
    <row r="30" spans="1:32" x14ac:dyDescent="0.2">
      <c r="A30" s="107">
        <v>79</v>
      </c>
      <c r="B30" s="108">
        <v>4.7924000000000001E-2</v>
      </c>
      <c r="C30" s="107">
        <v>86</v>
      </c>
      <c r="D30" s="108">
        <v>8.1536999999999998E-2</v>
      </c>
      <c r="E30" s="240"/>
      <c r="F30" s="240"/>
      <c r="G30" s="107">
        <v>79</v>
      </c>
      <c r="H30" s="117">
        <f t="shared" si="0"/>
        <v>9.5848000000000003E-2</v>
      </c>
      <c r="I30" s="117">
        <f t="shared" si="1"/>
        <v>0.163074</v>
      </c>
      <c r="J30" s="117">
        <f t="shared" si="2"/>
        <v>0.1126545</v>
      </c>
      <c r="K30" s="226"/>
      <c r="L30" s="107">
        <v>79</v>
      </c>
      <c r="M30" s="244">
        <f t="shared" si="15"/>
        <v>0.21565800000000002</v>
      </c>
      <c r="N30" s="244">
        <f t="shared" si="16"/>
        <v>0.36691649999999998</v>
      </c>
      <c r="O30" s="244">
        <f t="shared" si="17"/>
        <v>0.25347262500000001</v>
      </c>
      <c r="P30" s="226"/>
      <c r="Q30" s="107">
        <v>79</v>
      </c>
      <c r="R30" s="116">
        <f t="shared" si="18"/>
        <v>0.14377200000000001</v>
      </c>
      <c r="S30" s="116">
        <f t="shared" si="19"/>
        <v>0.244611</v>
      </c>
      <c r="T30" s="116">
        <f t="shared" si="20"/>
        <v>0.16898175000000001</v>
      </c>
      <c r="U30" s="226"/>
      <c r="V30" s="107">
        <v>79</v>
      </c>
      <c r="W30" s="247">
        <f t="shared" si="21"/>
        <v>0.22668052000000002</v>
      </c>
      <c r="X30" s="247">
        <f t="shared" si="22"/>
        <v>0.38567001000000001</v>
      </c>
      <c r="Y30" s="247">
        <f t="shared" si="23"/>
        <v>0.26642789249999999</v>
      </c>
      <c r="Z30" s="226"/>
      <c r="AA30" s="107">
        <v>79</v>
      </c>
      <c r="AB30" s="249">
        <f t="shared" si="24"/>
        <v>0.11118367999999999</v>
      </c>
      <c r="AC30" s="249">
        <f t="shared" si="25"/>
        <v>0.18916583999999997</v>
      </c>
      <c r="AD30" s="249">
        <f t="shared" si="26"/>
        <v>0.13067921999999998</v>
      </c>
      <c r="AE30" s="111"/>
      <c r="AF30" s="111"/>
    </row>
    <row r="31" spans="1:32" x14ac:dyDescent="0.2">
      <c r="A31" s="107">
        <v>80</v>
      </c>
      <c r="B31" s="108">
        <v>5.4809999999999998E-2</v>
      </c>
      <c r="C31" s="107">
        <v>87</v>
      </c>
      <c r="D31" s="108">
        <v>9.1619999999999993E-2</v>
      </c>
      <c r="E31" s="240"/>
      <c r="F31" s="240"/>
      <c r="G31" s="107">
        <v>80</v>
      </c>
      <c r="H31" s="117">
        <f t="shared" si="0"/>
        <v>0.10962</v>
      </c>
      <c r="I31" s="117">
        <f t="shared" si="1"/>
        <v>0.18323999999999999</v>
      </c>
      <c r="J31" s="117">
        <f t="shared" si="2"/>
        <v>0.128025</v>
      </c>
      <c r="K31" s="226"/>
      <c r="L31" s="107">
        <v>80</v>
      </c>
      <c r="M31" s="244">
        <f t="shared" si="15"/>
        <v>0.246645</v>
      </c>
      <c r="N31" s="244">
        <f t="shared" si="16"/>
        <v>0.41228999999999999</v>
      </c>
      <c r="O31" s="244">
        <f t="shared" si="17"/>
        <v>0.28805625000000001</v>
      </c>
      <c r="P31" s="226"/>
      <c r="Q31" s="107">
        <v>80</v>
      </c>
      <c r="R31" s="116">
        <f t="shared" si="18"/>
        <v>0.16442999999999999</v>
      </c>
      <c r="S31" s="116">
        <f t="shared" si="19"/>
        <v>0.27485999999999999</v>
      </c>
      <c r="T31" s="116">
        <f t="shared" si="20"/>
        <v>0.1920375</v>
      </c>
      <c r="U31" s="226"/>
      <c r="V31" s="107">
        <v>80</v>
      </c>
      <c r="W31" s="247">
        <f t="shared" si="21"/>
        <v>0.25925130000000002</v>
      </c>
      <c r="X31" s="247">
        <f t="shared" si="22"/>
        <v>0.43336259999999999</v>
      </c>
      <c r="Y31" s="247">
        <f t="shared" si="23"/>
        <v>0.30277912499999998</v>
      </c>
      <c r="Z31" s="226"/>
      <c r="AA31" s="107">
        <v>80</v>
      </c>
      <c r="AB31" s="249">
        <f t="shared" si="24"/>
        <v>0.12715919999999997</v>
      </c>
      <c r="AC31" s="249">
        <f t="shared" si="25"/>
        <v>0.21255839999999998</v>
      </c>
      <c r="AD31" s="249">
        <f t="shared" si="26"/>
        <v>0.14850899999999997</v>
      </c>
      <c r="AE31" s="111"/>
      <c r="AF31" s="111"/>
    </row>
    <row r="32" spans="1:32" x14ac:dyDescent="0.2">
      <c r="A32" s="107">
        <v>81</v>
      </c>
      <c r="B32" s="108">
        <v>6.0928999999999997E-2</v>
      </c>
      <c r="C32" s="107">
        <v>88</v>
      </c>
      <c r="D32" s="108">
        <v>0.105934</v>
      </c>
      <c r="E32" s="240"/>
      <c r="F32" s="240"/>
      <c r="G32" s="107">
        <v>81</v>
      </c>
      <c r="H32" s="117">
        <f t="shared" si="0"/>
        <v>0.12185799999999999</v>
      </c>
      <c r="I32" s="117">
        <f t="shared" si="1"/>
        <v>0.211868</v>
      </c>
      <c r="J32" s="117">
        <f t="shared" si="2"/>
        <v>0.1443605</v>
      </c>
      <c r="K32" s="226"/>
      <c r="L32" s="107">
        <v>81</v>
      </c>
      <c r="M32" s="244">
        <f t="shared" si="15"/>
        <v>0.27418049999999999</v>
      </c>
      <c r="N32" s="244">
        <f t="shared" si="16"/>
        <v>0.47670299999999999</v>
      </c>
      <c r="O32" s="244">
        <f t="shared" si="17"/>
        <v>0.32481112499999998</v>
      </c>
      <c r="P32" s="226"/>
      <c r="Q32" s="107">
        <v>81</v>
      </c>
      <c r="R32" s="116">
        <f t="shared" si="18"/>
        <v>0.18278699999999998</v>
      </c>
      <c r="S32" s="116">
        <f t="shared" si="19"/>
        <v>0.31780200000000003</v>
      </c>
      <c r="T32" s="116">
        <f t="shared" si="20"/>
        <v>0.21654074999999998</v>
      </c>
      <c r="U32" s="226"/>
      <c r="V32" s="107">
        <v>81</v>
      </c>
      <c r="W32" s="247">
        <f t="shared" si="21"/>
        <v>0.28819417000000003</v>
      </c>
      <c r="X32" s="247">
        <f t="shared" si="22"/>
        <v>0.50106782000000005</v>
      </c>
      <c r="Y32" s="247">
        <f t="shared" si="23"/>
        <v>0.34141258250000006</v>
      </c>
      <c r="Z32" s="226"/>
      <c r="AA32" s="107">
        <v>81</v>
      </c>
      <c r="AB32" s="249">
        <f t="shared" si="24"/>
        <v>0.14135527999999997</v>
      </c>
      <c r="AC32" s="249">
        <f t="shared" si="25"/>
        <v>0.24576687999999999</v>
      </c>
      <c r="AD32" s="249">
        <f t="shared" si="26"/>
        <v>0.16745817999999998</v>
      </c>
      <c r="AE32" s="111"/>
      <c r="AF32" s="111"/>
    </row>
    <row r="33" spans="1:32" x14ac:dyDescent="0.2">
      <c r="A33" s="107">
        <v>82</v>
      </c>
      <c r="B33" s="108">
        <v>6.9091E-2</v>
      </c>
      <c r="C33" s="107">
        <v>89</v>
      </c>
      <c r="D33" s="108">
        <v>0.11817800000000001</v>
      </c>
      <c r="E33" s="240"/>
      <c r="F33" s="240"/>
      <c r="G33" s="107">
        <v>82</v>
      </c>
      <c r="H33" s="117">
        <f t="shared" si="0"/>
        <v>0.138182</v>
      </c>
      <c r="I33" s="117">
        <f t="shared" si="1"/>
        <v>0.23635600000000001</v>
      </c>
      <c r="J33" s="117">
        <f t="shared" si="2"/>
        <v>0.1627255</v>
      </c>
      <c r="K33" s="226"/>
      <c r="L33" s="107">
        <v>82</v>
      </c>
      <c r="M33" s="244">
        <f t="shared" si="15"/>
        <v>0.31090950000000001</v>
      </c>
      <c r="N33" s="244">
        <f t="shared" si="16"/>
        <v>0.53180099999999997</v>
      </c>
      <c r="O33" s="244">
        <f t="shared" si="17"/>
        <v>0.36613237500000001</v>
      </c>
      <c r="P33" s="226"/>
      <c r="Q33" s="107">
        <v>82</v>
      </c>
      <c r="R33" s="116">
        <f t="shared" si="18"/>
        <v>0.20727299999999999</v>
      </c>
      <c r="S33" s="116">
        <f t="shared" si="19"/>
        <v>0.35453400000000002</v>
      </c>
      <c r="T33" s="116">
        <f t="shared" si="20"/>
        <v>0.24408824999999998</v>
      </c>
      <c r="U33" s="226"/>
      <c r="V33" s="107">
        <v>82</v>
      </c>
      <c r="W33" s="247">
        <f t="shared" si="21"/>
        <v>0.32680043000000003</v>
      </c>
      <c r="X33" s="247">
        <f t="shared" si="22"/>
        <v>0.55898194000000012</v>
      </c>
      <c r="Y33" s="247">
        <f t="shared" si="23"/>
        <v>0.38484580750000008</v>
      </c>
      <c r="Z33" s="226"/>
      <c r="AA33" s="107">
        <v>82</v>
      </c>
      <c r="AB33" s="249">
        <f t="shared" si="24"/>
        <v>0.16029111999999998</v>
      </c>
      <c r="AC33" s="249">
        <f t="shared" si="25"/>
        <v>0.27417295999999997</v>
      </c>
      <c r="AD33" s="249">
        <f t="shared" si="26"/>
        <v>0.18876157999999998</v>
      </c>
      <c r="AE33" s="111"/>
      <c r="AF33" s="111"/>
    </row>
    <row r="34" spans="1:32" x14ac:dyDescent="0.2">
      <c r="A34" s="107">
        <v>83</v>
      </c>
      <c r="B34" s="108">
        <v>7.5578000000000006E-2</v>
      </c>
      <c r="C34" s="107">
        <v>90</v>
      </c>
      <c r="D34" s="108">
        <v>0.134099</v>
      </c>
      <c r="E34" s="240"/>
      <c r="F34" s="240"/>
      <c r="G34" s="107">
        <v>83</v>
      </c>
      <c r="H34" s="117">
        <f t="shared" si="0"/>
        <v>0.15115600000000001</v>
      </c>
      <c r="I34" s="117">
        <f t="shared" si="1"/>
        <v>0.26819799999999999</v>
      </c>
      <c r="J34" s="117">
        <f t="shared" si="2"/>
        <v>0.18041650000000001</v>
      </c>
      <c r="K34" s="226"/>
      <c r="L34" s="107">
        <v>83</v>
      </c>
      <c r="M34" s="244">
        <f t="shared" si="15"/>
        <v>0.34010100000000004</v>
      </c>
      <c r="N34" s="244">
        <f t="shared" si="16"/>
        <v>0.60344549999999997</v>
      </c>
      <c r="O34" s="244">
        <f t="shared" si="17"/>
        <v>0.40593712500000001</v>
      </c>
      <c r="P34" s="226"/>
      <c r="Q34" s="107">
        <v>83</v>
      </c>
      <c r="R34" s="116">
        <f t="shared" si="18"/>
        <v>0.22673400000000002</v>
      </c>
      <c r="S34" s="116">
        <f t="shared" si="19"/>
        <v>0.40229700000000002</v>
      </c>
      <c r="T34" s="116">
        <f t="shared" si="20"/>
        <v>0.27062475000000003</v>
      </c>
      <c r="U34" s="226"/>
      <c r="V34" s="107">
        <v>83</v>
      </c>
      <c r="W34" s="247">
        <f t="shared" si="21"/>
        <v>0.35748394000000006</v>
      </c>
      <c r="X34" s="247">
        <f t="shared" si="22"/>
        <v>0.63428826999999999</v>
      </c>
      <c r="Y34" s="247">
        <f t="shared" si="23"/>
        <v>0.42668502250000007</v>
      </c>
      <c r="Z34" s="226"/>
      <c r="AA34" s="107">
        <v>83</v>
      </c>
      <c r="AB34" s="249">
        <f t="shared" si="24"/>
        <v>0.17534095999999999</v>
      </c>
      <c r="AC34" s="249">
        <f t="shared" si="25"/>
        <v>0.31110967999999994</v>
      </c>
      <c r="AD34" s="249">
        <f t="shared" si="26"/>
        <v>0.20928313999999998</v>
      </c>
      <c r="AE34" s="111"/>
      <c r="AF34" s="111"/>
    </row>
    <row r="35" spans="1:32" x14ac:dyDescent="0.2">
      <c r="A35" s="107">
        <v>84</v>
      </c>
      <c r="B35" s="108">
        <v>8.4871000000000002E-2</v>
      </c>
      <c r="C35" s="107">
        <v>91</v>
      </c>
      <c r="D35" s="108">
        <v>0.15221799999999999</v>
      </c>
      <c r="E35" s="240"/>
      <c r="F35" s="240"/>
      <c r="G35" s="107">
        <v>84</v>
      </c>
      <c r="H35" s="117">
        <f t="shared" si="0"/>
        <v>0.169742</v>
      </c>
      <c r="I35" s="117">
        <f t="shared" si="1"/>
        <v>0.30443599999999998</v>
      </c>
      <c r="J35" s="117">
        <f t="shared" si="2"/>
        <v>0.20341549999999997</v>
      </c>
      <c r="K35" s="226"/>
      <c r="L35" s="107">
        <v>84</v>
      </c>
      <c r="M35" s="244">
        <f t="shared" si="15"/>
        <v>0.38191950000000002</v>
      </c>
      <c r="N35" s="244">
        <f t="shared" si="16"/>
        <v>0.68498099999999995</v>
      </c>
      <c r="O35" s="244">
        <f t="shared" si="17"/>
        <v>0.45768487499999999</v>
      </c>
      <c r="P35" s="226"/>
      <c r="Q35" s="107">
        <v>84</v>
      </c>
      <c r="R35" s="116">
        <f t="shared" si="18"/>
        <v>0.25461299999999998</v>
      </c>
      <c r="S35" s="116">
        <f t="shared" si="19"/>
        <v>0.456654</v>
      </c>
      <c r="T35" s="116">
        <f t="shared" si="20"/>
        <v>0.30512324999999996</v>
      </c>
      <c r="U35" s="226"/>
      <c r="V35" s="107">
        <v>84</v>
      </c>
      <c r="W35" s="247">
        <f t="shared" si="21"/>
        <v>0.40143983000000005</v>
      </c>
      <c r="X35" s="247">
        <f t="shared" si="22"/>
        <v>0.71999113999999997</v>
      </c>
      <c r="Y35" s="247">
        <f t="shared" si="23"/>
        <v>0.48107765749999998</v>
      </c>
      <c r="Z35" s="226"/>
      <c r="AA35" s="107">
        <v>84</v>
      </c>
      <c r="AB35" s="249">
        <f t="shared" si="24"/>
        <v>0.19690072</v>
      </c>
      <c r="AC35" s="249">
        <f t="shared" si="25"/>
        <v>0.35314575999999998</v>
      </c>
      <c r="AD35" s="249">
        <f t="shared" si="26"/>
        <v>0.23596197999999999</v>
      </c>
      <c r="AE35" s="111"/>
      <c r="AF35" s="111"/>
    </row>
    <row r="36" spans="1:32" x14ac:dyDescent="0.2">
      <c r="A36" s="107">
        <v>85</v>
      </c>
      <c r="B36" s="108">
        <v>9.4935000000000005E-2</v>
      </c>
      <c r="C36" s="107">
        <v>92</v>
      </c>
      <c r="D36" s="108">
        <v>0.17122799999999999</v>
      </c>
      <c r="E36" s="240"/>
      <c r="F36" s="240"/>
      <c r="G36" s="107">
        <v>85</v>
      </c>
      <c r="H36" s="117">
        <f t="shared" si="0"/>
        <v>0.18987000000000001</v>
      </c>
      <c r="I36" s="117">
        <f t="shared" si="1"/>
        <v>0.34245599999999998</v>
      </c>
      <c r="J36" s="117">
        <f t="shared" si="2"/>
        <v>0.22801650000000001</v>
      </c>
      <c r="K36" s="226"/>
      <c r="L36" s="107">
        <v>85</v>
      </c>
      <c r="M36" s="244">
        <f t="shared" si="15"/>
        <v>0.42720750000000002</v>
      </c>
      <c r="N36" s="244">
        <f t="shared" si="16"/>
        <v>0.77052599999999993</v>
      </c>
      <c r="O36" s="244">
        <f t="shared" si="17"/>
        <v>0.51303712499999998</v>
      </c>
      <c r="P36" s="226"/>
      <c r="Q36" s="107">
        <v>85</v>
      </c>
      <c r="R36" s="116">
        <f t="shared" si="18"/>
        <v>0.28480500000000003</v>
      </c>
      <c r="S36" s="116">
        <f t="shared" si="19"/>
        <v>0.51368400000000003</v>
      </c>
      <c r="T36" s="116">
        <f t="shared" si="20"/>
        <v>0.34202475000000004</v>
      </c>
      <c r="U36" s="226"/>
      <c r="V36" s="107">
        <v>85</v>
      </c>
      <c r="W36" s="247">
        <f t="shared" si="21"/>
        <v>0.44904255000000004</v>
      </c>
      <c r="X36" s="247">
        <f t="shared" si="22"/>
        <v>0.80990844000000006</v>
      </c>
      <c r="Y36" s="247">
        <f t="shared" si="23"/>
        <v>0.53925902250000002</v>
      </c>
      <c r="Z36" s="226"/>
      <c r="AA36" s="107">
        <v>85</v>
      </c>
      <c r="AB36" s="249">
        <f t="shared" si="24"/>
        <v>0.22024920000000001</v>
      </c>
      <c r="AC36" s="249">
        <f t="shared" si="25"/>
        <v>0.39724895999999993</v>
      </c>
      <c r="AD36" s="249">
        <f t="shared" si="26"/>
        <v>0.26449913999999997</v>
      </c>
      <c r="AE36" s="111"/>
      <c r="AF36" s="111"/>
    </row>
    <row r="37" spans="1:32" x14ac:dyDescent="0.2">
      <c r="A37" s="107">
        <v>86</v>
      </c>
      <c r="B37" s="108">
        <v>0.106503</v>
      </c>
      <c r="C37" s="107">
        <v>93</v>
      </c>
      <c r="D37" s="108">
        <v>0.19035099999999999</v>
      </c>
      <c r="E37" s="240"/>
      <c r="F37" s="240"/>
      <c r="G37" s="107">
        <v>86</v>
      </c>
      <c r="H37" s="117">
        <f t="shared" si="0"/>
        <v>0.213006</v>
      </c>
      <c r="I37" s="117">
        <f t="shared" si="1"/>
        <v>0.38070199999999998</v>
      </c>
      <c r="J37" s="117">
        <f t="shared" si="2"/>
        <v>0.25492999999999999</v>
      </c>
      <c r="K37" s="226"/>
      <c r="L37" s="107">
        <v>86</v>
      </c>
      <c r="M37" s="244">
        <f t="shared" si="15"/>
        <v>0.47926350000000001</v>
      </c>
      <c r="N37" s="244">
        <f t="shared" si="16"/>
        <v>0.85657949999999994</v>
      </c>
      <c r="O37" s="244">
        <f t="shared" si="17"/>
        <v>0.57359249999999995</v>
      </c>
      <c r="P37" s="226"/>
      <c r="Q37" s="107">
        <v>86</v>
      </c>
      <c r="R37" s="116">
        <f t="shared" si="18"/>
        <v>0.31950899999999999</v>
      </c>
      <c r="S37" s="116">
        <f t="shared" si="19"/>
        <v>0.57105300000000003</v>
      </c>
      <c r="T37" s="116">
        <f t="shared" si="20"/>
        <v>0.38239499999999998</v>
      </c>
      <c r="U37" s="226"/>
      <c r="V37" s="107">
        <v>86</v>
      </c>
      <c r="W37" s="247">
        <f t="shared" si="21"/>
        <v>0.50375919000000002</v>
      </c>
      <c r="X37" s="247">
        <f t="shared" si="22"/>
        <v>0.90036023000000009</v>
      </c>
      <c r="Y37" s="247">
        <f t="shared" si="23"/>
        <v>0.60290945000000007</v>
      </c>
      <c r="Z37" s="226"/>
      <c r="AA37" s="107">
        <v>86</v>
      </c>
      <c r="AB37" s="249">
        <f t="shared" si="24"/>
        <v>0.24708695999999999</v>
      </c>
      <c r="AC37" s="249">
        <f t="shared" si="25"/>
        <v>0.44161431999999995</v>
      </c>
      <c r="AD37" s="249">
        <f t="shared" si="26"/>
        <v>0.2957188</v>
      </c>
      <c r="AE37" s="111"/>
      <c r="AF37" s="111"/>
    </row>
    <row r="38" spans="1:32" x14ac:dyDescent="0.2">
      <c r="A38" s="107">
        <v>87</v>
      </c>
      <c r="B38" s="108">
        <v>0.12002400000000001</v>
      </c>
      <c r="C38" s="107">
        <v>94</v>
      </c>
      <c r="D38" s="108">
        <v>0.210095</v>
      </c>
      <c r="E38" s="240"/>
      <c r="F38" s="240"/>
      <c r="G38" s="107">
        <v>87</v>
      </c>
      <c r="H38" s="117">
        <f t="shared" si="0"/>
        <v>0.24004800000000001</v>
      </c>
      <c r="I38" s="117">
        <f t="shared" si="1"/>
        <v>0.42019000000000001</v>
      </c>
      <c r="J38" s="117">
        <f t="shared" si="2"/>
        <v>0.28508349999999999</v>
      </c>
      <c r="K38" s="226"/>
      <c r="L38" s="107">
        <v>87</v>
      </c>
      <c r="M38" s="244">
        <f t="shared" si="15"/>
        <v>0.54010800000000003</v>
      </c>
      <c r="N38" s="244">
        <f t="shared" si="16"/>
        <v>0.94542749999999998</v>
      </c>
      <c r="O38" s="244">
        <f t="shared" si="17"/>
        <v>0.64143787500000005</v>
      </c>
      <c r="P38" s="226"/>
      <c r="Q38" s="107">
        <v>87</v>
      </c>
      <c r="R38" s="116">
        <f t="shared" si="18"/>
        <v>0.360072</v>
      </c>
      <c r="S38" s="116">
        <f t="shared" si="19"/>
        <v>0.63028499999999998</v>
      </c>
      <c r="T38" s="116">
        <f t="shared" si="20"/>
        <v>0.42762525000000001</v>
      </c>
      <c r="U38" s="226"/>
      <c r="V38" s="107">
        <v>87</v>
      </c>
      <c r="W38" s="247">
        <f t="shared" si="21"/>
        <v>0.56771352000000008</v>
      </c>
      <c r="X38" s="247">
        <f t="shared" si="22"/>
        <v>0.99374935000000009</v>
      </c>
      <c r="Y38" s="247">
        <f t="shared" si="23"/>
        <v>0.67422247750000008</v>
      </c>
      <c r="Z38" s="226"/>
      <c r="AA38" s="107">
        <v>87</v>
      </c>
      <c r="AB38" s="249">
        <f t="shared" si="24"/>
        <v>0.27845567999999998</v>
      </c>
      <c r="AC38" s="249">
        <f t="shared" si="25"/>
        <v>0.48742039999999998</v>
      </c>
      <c r="AD38" s="249">
        <f t="shared" si="26"/>
        <v>0.33069685999999998</v>
      </c>
      <c r="AE38" s="111"/>
      <c r="AF38" s="111"/>
    </row>
    <row r="39" spans="1:32" x14ac:dyDescent="0.2">
      <c r="A39" s="107">
        <v>88</v>
      </c>
      <c r="B39" s="108">
        <v>0.13526099999999999</v>
      </c>
      <c r="C39" s="107">
        <v>95</v>
      </c>
      <c r="D39" s="108">
        <v>0.230103</v>
      </c>
      <c r="E39" s="240"/>
      <c r="F39" s="240"/>
      <c r="G39" s="107">
        <v>88</v>
      </c>
      <c r="H39" s="117">
        <f t="shared" si="0"/>
        <v>0.27052199999999998</v>
      </c>
      <c r="I39" s="117">
        <f t="shared" si="1"/>
        <v>0.460206</v>
      </c>
      <c r="J39" s="117">
        <f t="shared" si="2"/>
        <v>0.31794299999999998</v>
      </c>
      <c r="K39" s="226"/>
      <c r="L39" s="107">
        <v>88</v>
      </c>
      <c r="M39" s="244">
        <f t="shared" si="15"/>
        <v>0.60867450000000001</v>
      </c>
      <c r="N39" s="244">
        <f t="shared" si="16"/>
        <v>1</v>
      </c>
      <c r="O39" s="244">
        <f t="shared" si="17"/>
        <v>0.70650587499999995</v>
      </c>
      <c r="P39" s="226"/>
      <c r="Q39" s="107">
        <v>88</v>
      </c>
      <c r="R39" s="116">
        <f t="shared" si="18"/>
        <v>0.405783</v>
      </c>
      <c r="S39" s="116">
        <f t="shared" si="19"/>
        <v>0.69030900000000006</v>
      </c>
      <c r="T39" s="116">
        <f t="shared" si="20"/>
        <v>0.47691450000000002</v>
      </c>
      <c r="U39" s="226"/>
      <c r="V39" s="107">
        <v>88</v>
      </c>
      <c r="W39" s="247">
        <f t="shared" si="21"/>
        <v>0.63978453000000002</v>
      </c>
      <c r="X39" s="247">
        <f t="shared" si="22"/>
        <v>1</v>
      </c>
      <c r="Y39" s="247">
        <f t="shared" si="23"/>
        <v>0.72983839750000001</v>
      </c>
      <c r="Z39" s="226"/>
      <c r="AA39" s="107">
        <v>88</v>
      </c>
      <c r="AB39" s="249">
        <f t="shared" si="24"/>
        <v>0.31380551999999995</v>
      </c>
      <c r="AC39" s="249">
        <f t="shared" si="25"/>
        <v>0.53383895999999997</v>
      </c>
      <c r="AD39" s="249">
        <f t="shared" si="26"/>
        <v>0.36881387999999993</v>
      </c>
      <c r="AE39" s="111"/>
      <c r="AF39" s="111"/>
    </row>
    <row r="40" spans="1:32" x14ac:dyDescent="0.2">
      <c r="A40" s="107">
        <v>89</v>
      </c>
      <c r="B40" s="108">
        <v>0.150561</v>
      </c>
      <c r="C40" s="107">
        <v>96</v>
      </c>
      <c r="D40" s="108">
        <v>0.251247</v>
      </c>
      <c r="E40" s="240"/>
      <c r="F40" s="240"/>
      <c r="G40" s="107">
        <v>89</v>
      </c>
      <c r="H40" s="117">
        <f t="shared" si="0"/>
        <v>0.301122</v>
      </c>
      <c r="I40" s="117">
        <f t="shared" si="1"/>
        <v>0.502494</v>
      </c>
      <c r="J40" s="117">
        <f t="shared" si="2"/>
        <v>0.35146500000000003</v>
      </c>
      <c r="K40" s="226"/>
      <c r="L40" s="107">
        <v>89</v>
      </c>
      <c r="M40" s="244">
        <f t="shared" si="15"/>
        <v>0.67752449999999997</v>
      </c>
      <c r="N40" s="244">
        <f t="shared" si="16"/>
        <v>1</v>
      </c>
      <c r="O40" s="244">
        <f t="shared" si="17"/>
        <v>0.75814337499999995</v>
      </c>
      <c r="P40" s="226"/>
      <c r="Q40" s="107">
        <v>89</v>
      </c>
      <c r="R40" s="116">
        <f t="shared" si="18"/>
        <v>0.451683</v>
      </c>
      <c r="S40" s="116">
        <f t="shared" si="19"/>
        <v>0.75374099999999999</v>
      </c>
      <c r="T40" s="116">
        <f t="shared" si="20"/>
        <v>0.52719749999999999</v>
      </c>
      <c r="U40" s="226"/>
      <c r="V40" s="107">
        <v>89</v>
      </c>
      <c r="W40" s="247">
        <f t="shared" si="21"/>
        <v>0.71215353000000003</v>
      </c>
      <c r="X40" s="247">
        <f t="shared" si="22"/>
        <v>1</v>
      </c>
      <c r="Y40" s="247">
        <f t="shared" si="23"/>
        <v>0.7841151475</v>
      </c>
      <c r="Z40" s="226"/>
      <c r="AA40" s="107">
        <v>89</v>
      </c>
      <c r="AB40" s="249">
        <f t="shared" si="24"/>
        <v>0.34930151999999998</v>
      </c>
      <c r="AC40" s="249">
        <f t="shared" si="25"/>
        <v>0.58289303999999997</v>
      </c>
      <c r="AD40" s="249">
        <f t="shared" si="26"/>
        <v>0.40769939999999993</v>
      </c>
      <c r="AE40" s="111"/>
      <c r="AF40" s="111"/>
    </row>
    <row r="41" spans="1:32" x14ac:dyDescent="0.2">
      <c r="A41" s="107">
        <v>90</v>
      </c>
      <c r="B41" s="108">
        <v>0.17042299999999999</v>
      </c>
      <c r="C41" s="107">
        <v>97</v>
      </c>
      <c r="D41" s="108">
        <v>0.278312</v>
      </c>
      <c r="E41" s="240"/>
      <c r="F41" s="240"/>
      <c r="G41" s="107">
        <v>90</v>
      </c>
      <c r="H41" s="117">
        <f t="shared" si="0"/>
        <v>0.34084599999999998</v>
      </c>
      <c r="I41" s="117">
        <f t="shared" si="1"/>
        <v>0.55662400000000001</v>
      </c>
      <c r="J41" s="117">
        <f t="shared" si="2"/>
        <v>0.39479049999999999</v>
      </c>
      <c r="K41" s="226"/>
      <c r="L41" s="107">
        <v>90</v>
      </c>
      <c r="M41" s="244">
        <f t="shared" si="15"/>
        <v>0.76690349999999996</v>
      </c>
      <c r="N41" s="244">
        <f t="shared" si="16"/>
        <v>1</v>
      </c>
      <c r="O41" s="244">
        <f t="shared" si="17"/>
        <v>0.82517762500000003</v>
      </c>
      <c r="P41" s="226"/>
      <c r="Q41" s="107">
        <v>90</v>
      </c>
      <c r="R41" s="116">
        <f t="shared" si="18"/>
        <v>0.51126899999999997</v>
      </c>
      <c r="S41" s="116">
        <f t="shared" si="19"/>
        <v>0.83493600000000001</v>
      </c>
      <c r="T41" s="116">
        <f t="shared" si="20"/>
        <v>0.59218574999999996</v>
      </c>
      <c r="U41" s="226"/>
      <c r="V41" s="107">
        <v>90</v>
      </c>
      <c r="W41" s="247">
        <f t="shared" si="21"/>
        <v>0.80610079000000001</v>
      </c>
      <c r="X41" s="247">
        <f t="shared" si="22"/>
        <v>1</v>
      </c>
      <c r="Y41" s="247">
        <f t="shared" si="23"/>
        <v>0.85457559250000004</v>
      </c>
      <c r="Z41" s="226"/>
      <c r="AA41" s="107">
        <v>90</v>
      </c>
      <c r="AB41" s="249">
        <f t="shared" si="24"/>
        <v>0.39538135999999996</v>
      </c>
      <c r="AC41" s="249">
        <f t="shared" si="25"/>
        <v>0.64568384000000001</v>
      </c>
      <c r="AD41" s="249">
        <f t="shared" si="26"/>
        <v>0.45795697999999996</v>
      </c>
      <c r="AE41" s="111"/>
      <c r="AF41" s="111"/>
    </row>
    <row r="42" spans="1:32" x14ac:dyDescent="0.2">
      <c r="A42" s="107">
        <v>91</v>
      </c>
      <c r="B42" s="108">
        <v>0.18754000000000001</v>
      </c>
      <c r="C42" s="107">
        <v>98</v>
      </c>
      <c r="D42" s="108">
        <v>0.304062</v>
      </c>
      <c r="E42" s="240"/>
      <c r="F42" s="240"/>
      <c r="G42" s="107">
        <v>91</v>
      </c>
      <c r="H42" s="117">
        <f t="shared" si="0"/>
        <v>0.37508000000000002</v>
      </c>
      <c r="I42" s="117">
        <f t="shared" si="1"/>
        <v>0.608124</v>
      </c>
      <c r="J42" s="117">
        <f t="shared" si="2"/>
        <v>0.43334099999999998</v>
      </c>
      <c r="K42" s="226"/>
      <c r="L42" s="107">
        <v>91</v>
      </c>
      <c r="M42" s="244">
        <f t="shared" si="15"/>
        <v>0.84393000000000007</v>
      </c>
      <c r="N42" s="244">
        <f t="shared" si="16"/>
        <v>1</v>
      </c>
      <c r="O42" s="244">
        <f t="shared" si="17"/>
        <v>0.8829475</v>
      </c>
      <c r="P42" s="226"/>
      <c r="Q42" s="107">
        <v>91</v>
      </c>
      <c r="R42" s="116">
        <f t="shared" si="18"/>
        <v>0.56262000000000001</v>
      </c>
      <c r="S42" s="116">
        <f t="shared" si="19"/>
        <v>0.91218599999999994</v>
      </c>
      <c r="T42" s="116">
        <f t="shared" si="20"/>
        <v>0.65001149999999996</v>
      </c>
      <c r="U42" s="226"/>
      <c r="V42" s="107">
        <v>91</v>
      </c>
      <c r="W42" s="247">
        <f t="shared" si="21"/>
        <v>0.88706420000000019</v>
      </c>
      <c r="X42" s="247">
        <f t="shared" si="22"/>
        <v>1</v>
      </c>
      <c r="Y42" s="247">
        <f t="shared" si="23"/>
        <v>0.91529815000000014</v>
      </c>
      <c r="Z42" s="226"/>
      <c r="AA42" s="107">
        <v>91</v>
      </c>
      <c r="AB42" s="249">
        <f t="shared" si="24"/>
        <v>0.4350928</v>
      </c>
      <c r="AC42" s="249">
        <f t="shared" si="25"/>
        <v>0.70542383999999991</v>
      </c>
      <c r="AD42" s="249">
        <f t="shared" si="26"/>
        <v>0.50267555999999991</v>
      </c>
      <c r="AE42" s="111"/>
      <c r="AF42" s="111"/>
    </row>
    <row r="43" spans="1:32" x14ac:dyDescent="0.2">
      <c r="A43" s="107">
        <v>92</v>
      </c>
      <c r="B43" s="108">
        <v>0.20976600000000001</v>
      </c>
      <c r="C43" s="107">
        <v>99</v>
      </c>
      <c r="D43" s="108">
        <v>0.32394400000000001</v>
      </c>
      <c r="G43" s="107">
        <v>92</v>
      </c>
      <c r="H43" s="117">
        <f t="shared" si="0"/>
        <v>0.41953200000000002</v>
      </c>
      <c r="I43" s="117">
        <f t="shared" si="1"/>
        <v>0.64788800000000002</v>
      </c>
      <c r="J43" s="117">
        <f t="shared" si="2"/>
        <v>0.47662100000000002</v>
      </c>
      <c r="K43" s="226"/>
      <c r="L43" s="107">
        <v>92</v>
      </c>
      <c r="M43" s="244">
        <f t="shared" si="15"/>
        <v>0.94394700000000009</v>
      </c>
      <c r="N43" s="244">
        <f t="shared" si="16"/>
        <v>1</v>
      </c>
      <c r="O43" s="244">
        <f t="shared" si="17"/>
        <v>0.95796025000000007</v>
      </c>
      <c r="P43" s="226"/>
      <c r="Q43" s="107">
        <v>92</v>
      </c>
      <c r="R43" s="116">
        <f t="shared" si="18"/>
        <v>0.62929800000000002</v>
      </c>
      <c r="S43" s="116">
        <f t="shared" si="19"/>
        <v>0.97183200000000003</v>
      </c>
      <c r="T43" s="116">
        <f t="shared" si="20"/>
        <v>0.71493150000000005</v>
      </c>
      <c r="U43" s="226"/>
      <c r="V43" s="107">
        <v>92</v>
      </c>
      <c r="W43" s="247">
        <f t="shared" si="21"/>
        <v>0.99219318000000012</v>
      </c>
      <c r="X43" s="247">
        <f t="shared" si="22"/>
        <v>1</v>
      </c>
      <c r="Y43" s="247">
        <f t="shared" si="23"/>
        <v>0.99414488500000009</v>
      </c>
      <c r="Z43" s="226"/>
      <c r="AA43" s="107">
        <v>92</v>
      </c>
      <c r="AB43" s="249">
        <f t="shared" si="24"/>
        <v>0.48665712</v>
      </c>
      <c r="AC43" s="249">
        <f t="shared" si="25"/>
        <v>0.75155008000000001</v>
      </c>
      <c r="AD43" s="249">
        <f t="shared" si="26"/>
        <v>0.55288035999999996</v>
      </c>
      <c r="AE43" s="111"/>
      <c r="AF43" s="111"/>
    </row>
    <row r="44" spans="1:32" x14ac:dyDescent="0.2">
      <c r="A44" s="107">
        <v>93</v>
      </c>
      <c r="B44" s="108">
        <v>0.22975899999999999</v>
      </c>
      <c r="C44" s="107">
        <v>100</v>
      </c>
      <c r="D44" s="83">
        <v>0.35231099999999999</v>
      </c>
      <c r="G44" s="107">
        <v>93</v>
      </c>
      <c r="H44" s="117">
        <f t="shared" si="0"/>
        <v>0.45951799999999998</v>
      </c>
      <c r="I44" s="117">
        <f t="shared" si="1"/>
        <v>0.70462199999999997</v>
      </c>
      <c r="J44" s="117">
        <f t="shared" si="2"/>
        <v>0.52079399999999998</v>
      </c>
      <c r="K44" s="226"/>
      <c r="L44" s="107">
        <v>93</v>
      </c>
      <c r="M44" s="244">
        <f t="shared" si="15"/>
        <v>1</v>
      </c>
      <c r="N44" s="244">
        <f t="shared" si="16"/>
        <v>1</v>
      </c>
      <c r="O44" s="244">
        <f t="shared" si="17"/>
        <v>1</v>
      </c>
      <c r="P44" s="226"/>
      <c r="Q44" s="107">
        <v>93</v>
      </c>
      <c r="R44" s="116">
        <f t="shared" si="18"/>
        <v>0.68927699999999992</v>
      </c>
      <c r="S44" s="116">
        <f t="shared" si="19"/>
        <v>1</v>
      </c>
      <c r="T44" s="116">
        <f t="shared" si="20"/>
        <v>0.76695774999999999</v>
      </c>
      <c r="U44" s="226"/>
      <c r="V44" s="107">
        <v>93</v>
      </c>
      <c r="W44" s="247">
        <f t="shared" si="21"/>
        <v>1</v>
      </c>
      <c r="X44" s="247">
        <f t="shared" si="22"/>
        <v>1</v>
      </c>
      <c r="Y44" s="247">
        <f t="shared" si="23"/>
        <v>1</v>
      </c>
      <c r="Z44" s="226"/>
      <c r="AA44" s="107">
        <v>93</v>
      </c>
      <c r="AB44" s="249">
        <f t="shared" si="24"/>
        <v>0.53304087999999994</v>
      </c>
      <c r="AC44" s="249">
        <f t="shared" si="25"/>
        <v>0.81736151999999995</v>
      </c>
      <c r="AD44" s="249">
        <f t="shared" si="26"/>
        <v>0.60412103999999989</v>
      </c>
      <c r="AE44" s="111"/>
      <c r="AF44" s="111"/>
    </row>
    <row r="45" spans="1:32" x14ac:dyDescent="0.2">
      <c r="A45" s="107">
        <v>94</v>
      </c>
      <c r="B45" s="108">
        <v>0.25412299999999999</v>
      </c>
      <c r="C45" s="107">
        <v>101</v>
      </c>
      <c r="D45" s="83">
        <v>0.35231099999999999</v>
      </c>
      <c r="G45" s="107">
        <v>94</v>
      </c>
      <c r="H45" s="117">
        <f t="shared" si="0"/>
        <v>0.50824599999999998</v>
      </c>
      <c r="I45" s="117">
        <f t="shared" si="1"/>
        <v>0.70462199999999997</v>
      </c>
      <c r="J45" s="117">
        <f t="shared" si="2"/>
        <v>0.55733999999999995</v>
      </c>
      <c r="K45" s="226"/>
      <c r="L45" s="107">
        <v>94</v>
      </c>
      <c r="M45" s="244">
        <f t="shared" si="15"/>
        <v>1</v>
      </c>
      <c r="N45" s="244">
        <f t="shared" si="16"/>
        <v>1</v>
      </c>
      <c r="O45" s="244">
        <f t="shared" si="17"/>
        <v>1</v>
      </c>
      <c r="P45" s="226"/>
      <c r="Q45" s="107">
        <v>94</v>
      </c>
      <c r="R45" s="116">
        <f t="shared" si="18"/>
        <v>0.76236899999999996</v>
      </c>
      <c r="S45" s="116">
        <f t="shared" si="19"/>
        <v>1</v>
      </c>
      <c r="T45" s="116">
        <f t="shared" si="20"/>
        <v>0.82177674999999994</v>
      </c>
      <c r="U45" s="226"/>
      <c r="V45" s="107">
        <v>94</v>
      </c>
      <c r="W45" s="247">
        <f t="shared" si="21"/>
        <v>1</v>
      </c>
      <c r="X45" s="247">
        <f t="shared" si="22"/>
        <v>1</v>
      </c>
      <c r="Y45" s="247">
        <f t="shared" si="23"/>
        <v>1</v>
      </c>
      <c r="Z45" s="226"/>
      <c r="AA45" s="107">
        <v>94</v>
      </c>
      <c r="AB45" s="249">
        <f t="shared" si="24"/>
        <v>0.58956535999999993</v>
      </c>
      <c r="AC45" s="249">
        <f t="shared" si="25"/>
        <v>0.81736151999999995</v>
      </c>
      <c r="AD45" s="249">
        <f t="shared" si="26"/>
        <v>0.64651439999999993</v>
      </c>
      <c r="AE45" s="111"/>
      <c r="AF45" s="111"/>
    </row>
    <row r="46" spans="1:32" x14ac:dyDescent="0.2">
      <c r="A46" s="107">
        <v>95</v>
      </c>
      <c r="B46" s="108">
        <v>0.27496500000000001</v>
      </c>
      <c r="C46" s="107">
        <v>102</v>
      </c>
      <c r="D46" s="83">
        <v>0.35231099999999999</v>
      </c>
      <c r="G46" s="107">
        <v>95</v>
      </c>
      <c r="H46" s="117">
        <f t="shared" si="0"/>
        <v>0.54993000000000003</v>
      </c>
      <c r="I46" s="117">
        <f t="shared" si="1"/>
        <v>0.70462199999999997</v>
      </c>
      <c r="J46" s="117">
        <f t="shared" si="2"/>
        <v>0.58860299999999999</v>
      </c>
      <c r="K46" s="226"/>
      <c r="L46" s="107">
        <v>95</v>
      </c>
      <c r="M46" s="244">
        <f t="shared" si="15"/>
        <v>1</v>
      </c>
      <c r="N46" s="244">
        <f t="shared" si="16"/>
        <v>1</v>
      </c>
      <c r="O46" s="244">
        <f t="shared" si="17"/>
        <v>1</v>
      </c>
      <c r="P46" s="226"/>
      <c r="Q46" s="107">
        <v>95</v>
      </c>
      <c r="R46" s="116">
        <f t="shared" si="18"/>
        <v>0.82489500000000004</v>
      </c>
      <c r="S46" s="116">
        <f t="shared" si="19"/>
        <v>1</v>
      </c>
      <c r="T46" s="116">
        <f t="shared" si="20"/>
        <v>0.86867125000000001</v>
      </c>
      <c r="U46" s="226"/>
      <c r="V46" s="107">
        <v>95</v>
      </c>
      <c r="W46" s="247">
        <f t="shared" si="21"/>
        <v>1</v>
      </c>
      <c r="X46" s="247">
        <f t="shared" si="22"/>
        <v>1</v>
      </c>
      <c r="Y46" s="247">
        <f t="shared" si="23"/>
        <v>1</v>
      </c>
      <c r="Z46" s="226"/>
      <c r="AA46" s="107">
        <v>95</v>
      </c>
      <c r="AB46" s="249">
        <f t="shared" si="24"/>
        <v>0.63791880000000001</v>
      </c>
      <c r="AC46" s="249">
        <f t="shared" si="25"/>
        <v>0.81736151999999995</v>
      </c>
      <c r="AD46" s="249">
        <f t="shared" si="26"/>
        <v>0.68277947999999999</v>
      </c>
      <c r="AE46" s="111"/>
      <c r="AF46" s="111"/>
    </row>
    <row r="47" spans="1:32" x14ac:dyDescent="0.2">
      <c r="A47" s="107">
        <v>96</v>
      </c>
      <c r="B47" s="108">
        <v>0.29870200000000002</v>
      </c>
      <c r="C47" s="107">
        <v>103</v>
      </c>
      <c r="D47" s="83">
        <v>0.35231099999999999</v>
      </c>
      <c r="G47" s="107">
        <v>96</v>
      </c>
      <c r="H47" s="117">
        <f t="shared" si="0"/>
        <v>0.59740400000000005</v>
      </c>
      <c r="I47" s="117">
        <f t="shared" si="1"/>
        <v>0.70462199999999997</v>
      </c>
      <c r="J47" s="117">
        <f t="shared" si="2"/>
        <v>0.62420850000000005</v>
      </c>
      <c r="K47" s="226"/>
      <c r="L47" s="107">
        <v>96</v>
      </c>
      <c r="M47" s="244">
        <f t="shared" si="15"/>
        <v>1</v>
      </c>
      <c r="N47" s="244">
        <f t="shared" si="16"/>
        <v>1</v>
      </c>
      <c r="O47" s="244">
        <f t="shared" si="17"/>
        <v>1</v>
      </c>
      <c r="P47" s="226"/>
      <c r="Q47" s="107">
        <v>96</v>
      </c>
      <c r="R47" s="116">
        <f t="shared" si="18"/>
        <v>0.89610600000000007</v>
      </c>
      <c r="S47" s="116">
        <f t="shared" si="19"/>
        <v>1</v>
      </c>
      <c r="T47" s="116">
        <f t="shared" si="20"/>
        <v>0.92207950000000005</v>
      </c>
      <c r="U47" s="226"/>
      <c r="V47" s="107">
        <v>96</v>
      </c>
      <c r="W47" s="247">
        <f t="shared" si="21"/>
        <v>1</v>
      </c>
      <c r="X47" s="247">
        <f t="shared" si="22"/>
        <v>1</v>
      </c>
      <c r="Y47" s="247">
        <f t="shared" si="23"/>
        <v>1</v>
      </c>
      <c r="Z47" s="226"/>
      <c r="AA47" s="107">
        <v>96</v>
      </c>
      <c r="AB47" s="249">
        <f t="shared" si="24"/>
        <v>0.69298864000000004</v>
      </c>
      <c r="AC47" s="249">
        <f t="shared" si="25"/>
        <v>0.81736151999999995</v>
      </c>
      <c r="AD47" s="249">
        <f t="shared" si="26"/>
        <v>0.72408185999999997</v>
      </c>
      <c r="AE47" s="111"/>
      <c r="AF47" s="111"/>
    </row>
    <row r="48" spans="1:32" x14ac:dyDescent="0.2">
      <c r="A48" s="107">
        <v>97</v>
      </c>
      <c r="B48" s="108">
        <v>0.32780599999999999</v>
      </c>
      <c r="C48" s="107">
        <v>104</v>
      </c>
      <c r="D48" s="83">
        <v>0.35231099999999999</v>
      </c>
      <c r="G48" s="107">
        <v>97</v>
      </c>
      <c r="H48" s="117">
        <f t="shared" si="0"/>
        <v>0.65561199999999997</v>
      </c>
      <c r="I48" s="117">
        <f t="shared" si="1"/>
        <v>0.70462199999999997</v>
      </c>
      <c r="J48" s="117">
        <f t="shared" si="2"/>
        <v>0.66786449999999997</v>
      </c>
      <c r="K48" s="226"/>
      <c r="L48" s="107">
        <v>97</v>
      </c>
      <c r="M48" s="244">
        <f t="shared" si="15"/>
        <v>1</v>
      </c>
      <c r="N48" s="244">
        <f t="shared" si="16"/>
        <v>1</v>
      </c>
      <c r="O48" s="244">
        <f t="shared" si="17"/>
        <v>1</v>
      </c>
      <c r="P48" s="226"/>
      <c r="Q48" s="107">
        <v>97</v>
      </c>
      <c r="R48" s="116">
        <f t="shared" si="18"/>
        <v>0.9834179999999999</v>
      </c>
      <c r="S48" s="116">
        <f t="shared" si="19"/>
        <v>1</v>
      </c>
      <c r="T48" s="116">
        <f t="shared" si="20"/>
        <v>0.98756349999999993</v>
      </c>
      <c r="U48" s="226"/>
      <c r="V48" s="107">
        <v>97</v>
      </c>
      <c r="W48" s="247">
        <f t="shared" si="21"/>
        <v>1</v>
      </c>
      <c r="X48" s="247">
        <f t="shared" si="22"/>
        <v>1</v>
      </c>
      <c r="Y48" s="247">
        <f t="shared" si="23"/>
        <v>1</v>
      </c>
      <c r="Z48" s="226"/>
      <c r="AA48" s="107">
        <v>97</v>
      </c>
      <c r="AB48" s="249">
        <f t="shared" si="24"/>
        <v>0.76050991999999995</v>
      </c>
      <c r="AC48" s="249">
        <f t="shared" si="25"/>
        <v>0.81736151999999995</v>
      </c>
      <c r="AD48" s="249">
        <f t="shared" si="26"/>
        <v>0.77472281999999992</v>
      </c>
      <c r="AE48" s="111"/>
      <c r="AF48" s="111"/>
    </row>
    <row r="49" spans="1:32" x14ac:dyDescent="0.2">
      <c r="A49" s="107">
        <v>98</v>
      </c>
      <c r="B49" s="108">
        <v>0.337947</v>
      </c>
      <c r="C49" s="107">
        <v>105</v>
      </c>
      <c r="D49" s="83">
        <v>0.35231099999999999</v>
      </c>
      <c r="G49" s="107">
        <v>98</v>
      </c>
      <c r="H49" s="117">
        <f t="shared" si="0"/>
        <v>0.67589399999999999</v>
      </c>
      <c r="I49" s="117">
        <f t="shared" si="1"/>
        <v>0.70462199999999997</v>
      </c>
      <c r="J49" s="117">
        <f t="shared" si="2"/>
        <v>0.68307600000000002</v>
      </c>
      <c r="K49" s="226"/>
      <c r="L49" s="107">
        <v>98</v>
      </c>
      <c r="M49" s="244">
        <f t="shared" si="15"/>
        <v>1</v>
      </c>
      <c r="N49" s="244">
        <f t="shared" si="16"/>
        <v>1</v>
      </c>
      <c r="O49" s="244">
        <f t="shared" si="17"/>
        <v>1</v>
      </c>
      <c r="P49" s="226"/>
      <c r="Q49" s="107">
        <v>98</v>
      </c>
      <c r="R49" s="116">
        <f t="shared" si="18"/>
        <v>1</v>
      </c>
      <c r="S49" s="116">
        <f t="shared" si="19"/>
        <v>1</v>
      </c>
      <c r="T49" s="116">
        <f t="shared" si="20"/>
        <v>1</v>
      </c>
      <c r="U49" s="226"/>
      <c r="V49" s="107">
        <v>98</v>
      </c>
      <c r="W49" s="247">
        <f t="shared" si="21"/>
        <v>1</v>
      </c>
      <c r="X49" s="247">
        <f t="shared" si="22"/>
        <v>1</v>
      </c>
      <c r="Y49" s="247">
        <f t="shared" si="23"/>
        <v>1</v>
      </c>
      <c r="Z49" s="226"/>
      <c r="AA49" s="107">
        <v>98</v>
      </c>
      <c r="AB49" s="249">
        <f t="shared" si="24"/>
        <v>0.78403703999999996</v>
      </c>
      <c r="AC49" s="249">
        <f t="shared" si="25"/>
        <v>0.81736151999999995</v>
      </c>
      <c r="AD49" s="249">
        <f t="shared" si="26"/>
        <v>0.79236815999999999</v>
      </c>
      <c r="AE49" s="111"/>
      <c r="AF49" s="111"/>
    </row>
    <row r="50" spans="1:32" x14ac:dyDescent="0.2">
      <c r="A50" s="107">
        <v>99</v>
      </c>
      <c r="B50" s="108">
        <v>0.37825900000000001</v>
      </c>
      <c r="C50" s="107">
        <v>106</v>
      </c>
      <c r="D50" s="83">
        <v>0.35231099999999999</v>
      </c>
      <c r="G50" s="107">
        <v>99</v>
      </c>
      <c r="H50" s="117">
        <f t="shared" si="0"/>
        <v>0.75651800000000002</v>
      </c>
      <c r="I50" s="117">
        <f t="shared" si="1"/>
        <v>0.70462199999999997</v>
      </c>
      <c r="J50" s="117">
        <f t="shared" si="2"/>
        <v>0.74354400000000009</v>
      </c>
      <c r="K50" s="226"/>
      <c r="L50" s="107">
        <v>99</v>
      </c>
      <c r="M50" s="244">
        <f t="shared" si="15"/>
        <v>1</v>
      </c>
      <c r="N50" s="244">
        <f t="shared" si="16"/>
        <v>1</v>
      </c>
      <c r="O50" s="244">
        <f t="shared" si="17"/>
        <v>1</v>
      </c>
      <c r="P50" s="226"/>
      <c r="Q50" s="107">
        <v>99</v>
      </c>
      <c r="R50" s="116">
        <f t="shared" si="18"/>
        <v>1</v>
      </c>
      <c r="S50" s="116">
        <f t="shared" si="19"/>
        <v>1</v>
      </c>
      <c r="T50" s="116">
        <f t="shared" si="20"/>
        <v>1</v>
      </c>
      <c r="U50" s="226"/>
      <c r="V50" s="107">
        <v>99</v>
      </c>
      <c r="W50" s="247">
        <f t="shared" si="21"/>
        <v>1</v>
      </c>
      <c r="X50" s="247">
        <f t="shared" si="22"/>
        <v>1</v>
      </c>
      <c r="Y50" s="247">
        <f t="shared" si="23"/>
        <v>1</v>
      </c>
      <c r="Z50" s="226"/>
      <c r="AA50" s="107">
        <v>99</v>
      </c>
      <c r="AB50" s="249">
        <f t="shared" si="24"/>
        <v>0.87756087999999999</v>
      </c>
      <c r="AC50" s="249">
        <f t="shared" si="25"/>
        <v>0.81736151999999995</v>
      </c>
      <c r="AD50" s="249">
        <f t="shared" si="26"/>
        <v>0.86251104000000001</v>
      </c>
    </row>
    <row r="51" spans="1:32" x14ac:dyDescent="0.2">
      <c r="A51" s="107">
        <v>100</v>
      </c>
      <c r="B51" s="83">
        <v>0.40347499999999997</v>
      </c>
      <c r="C51" s="107">
        <v>107</v>
      </c>
      <c r="D51" s="83">
        <v>0.35231099999999999</v>
      </c>
      <c r="G51" s="107">
        <v>100</v>
      </c>
      <c r="H51" s="117">
        <f t="shared" si="0"/>
        <v>0.80694999999999995</v>
      </c>
      <c r="I51" s="117">
        <f t="shared" si="1"/>
        <v>0.70462199999999997</v>
      </c>
      <c r="J51" s="117">
        <f t="shared" si="2"/>
        <v>0.78136799999999995</v>
      </c>
      <c r="K51" s="226"/>
      <c r="L51" s="107">
        <v>100</v>
      </c>
      <c r="M51" s="244">
        <f t="shared" si="15"/>
        <v>1</v>
      </c>
      <c r="N51" s="244">
        <f t="shared" si="16"/>
        <v>1</v>
      </c>
      <c r="O51" s="244">
        <f t="shared" si="17"/>
        <v>1</v>
      </c>
      <c r="P51" s="226"/>
      <c r="Q51" s="107">
        <v>100</v>
      </c>
      <c r="R51" s="116">
        <f t="shared" si="18"/>
        <v>1</v>
      </c>
      <c r="S51" s="116">
        <f t="shared" si="19"/>
        <v>1</v>
      </c>
      <c r="T51" s="116">
        <f t="shared" si="20"/>
        <v>1</v>
      </c>
      <c r="U51" s="226"/>
      <c r="V51" s="107">
        <v>100</v>
      </c>
      <c r="W51" s="247">
        <f t="shared" si="21"/>
        <v>1</v>
      </c>
      <c r="X51" s="247">
        <f t="shared" si="22"/>
        <v>1</v>
      </c>
      <c r="Y51" s="247">
        <f t="shared" si="23"/>
        <v>1</v>
      </c>
      <c r="Z51" s="226"/>
      <c r="AA51" s="107">
        <v>100</v>
      </c>
      <c r="AB51" s="249">
        <f t="shared" si="24"/>
        <v>0.93606199999999984</v>
      </c>
      <c r="AC51" s="249">
        <f t="shared" si="25"/>
        <v>0.81736151999999995</v>
      </c>
      <c r="AD51" s="249">
        <f t="shared" si="26"/>
        <v>0.90638687999999989</v>
      </c>
    </row>
    <row r="52" spans="1:32" x14ac:dyDescent="0.2">
      <c r="A52" s="107">
        <v>101</v>
      </c>
      <c r="B52" s="83">
        <v>0.40347499999999997</v>
      </c>
      <c r="C52" s="107">
        <v>107</v>
      </c>
      <c r="D52" s="83">
        <v>0.35231099999999999</v>
      </c>
      <c r="G52" s="107">
        <v>101</v>
      </c>
      <c r="H52" s="117">
        <f t="shared" si="0"/>
        <v>0.80694999999999995</v>
      </c>
      <c r="I52" s="117">
        <f t="shared" si="1"/>
        <v>0.70462199999999997</v>
      </c>
      <c r="J52" s="117">
        <f t="shared" si="2"/>
        <v>0.78136799999999995</v>
      </c>
      <c r="K52" s="226"/>
      <c r="L52" s="107">
        <v>101</v>
      </c>
      <c r="M52" s="244">
        <f t="shared" si="15"/>
        <v>1</v>
      </c>
      <c r="N52" s="244">
        <f t="shared" si="16"/>
        <v>1</v>
      </c>
      <c r="O52" s="244">
        <f t="shared" si="17"/>
        <v>1</v>
      </c>
      <c r="P52" s="226"/>
      <c r="Q52" s="107">
        <v>101</v>
      </c>
      <c r="R52" s="116">
        <f t="shared" si="18"/>
        <v>1</v>
      </c>
      <c r="S52" s="116">
        <f t="shared" si="19"/>
        <v>1</v>
      </c>
      <c r="T52" s="116">
        <f t="shared" si="20"/>
        <v>1</v>
      </c>
      <c r="U52" s="226"/>
      <c r="V52" s="107">
        <v>101</v>
      </c>
      <c r="W52" s="247">
        <f t="shared" si="21"/>
        <v>1</v>
      </c>
      <c r="X52" s="247">
        <f t="shared" si="22"/>
        <v>1</v>
      </c>
      <c r="Y52" s="247">
        <f t="shared" si="23"/>
        <v>1</v>
      </c>
      <c r="Z52" s="226"/>
      <c r="AA52" s="107">
        <v>101</v>
      </c>
      <c r="AB52" s="249">
        <f t="shared" si="24"/>
        <v>0.93606199999999984</v>
      </c>
      <c r="AC52" s="249">
        <f t="shared" si="25"/>
        <v>0.81736151999999995</v>
      </c>
      <c r="AD52" s="249">
        <f t="shared" si="26"/>
        <v>0.90638687999999989</v>
      </c>
    </row>
    <row r="53" spans="1:32" x14ac:dyDescent="0.2">
      <c r="A53" s="107">
        <v>102</v>
      </c>
      <c r="B53" s="83">
        <v>0.40347499999999997</v>
      </c>
      <c r="C53" s="107">
        <v>107</v>
      </c>
      <c r="D53" s="83">
        <v>0.35231099999999999</v>
      </c>
      <c r="G53" s="107">
        <v>102</v>
      </c>
      <c r="H53" s="117">
        <f t="shared" si="0"/>
        <v>0.80694999999999995</v>
      </c>
      <c r="I53" s="117">
        <f t="shared" si="1"/>
        <v>0.70462199999999997</v>
      </c>
      <c r="J53" s="117">
        <f t="shared" si="2"/>
        <v>0.78136799999999995</v>
      </c>
      <c r="K53" s="226"/>
      <c r="L53" s="107">
        <v>102</v>
      </c>
      <c r="M53" s="244">
        <f t="shared" si="15"/>
        <v>1</v>
      </c>
      <c r="N53" s="244">
        <f t="shared" si="16"/>
        <v>1</v>
      </c>
      <c r="O53" s="244">
        <f t="shared" si="17"/>
        <v>1</v>
      </c>
      <c r="P53" s="226"/>
      <c r="Q53" s="107">
        <v>102</v>
      </c>
      <c r="R53" s="116">
        <f t="shared" si="18"/>
        <v>1</v>
      </c>
      <c r="S53" s="116">
        <f t="shared" si="19"/>
        <v>1</v>
      </c>
      <c r="T53" s="116">
        <f t="shared" si="20"/>
        <v>1</v>
      </c>
      <c r="U53" s="226"/>
      <c r="V53" s="107">
        <v>102</v>
      </c>
      <c r="W53" s="247">
        <f t="shared" si="21"/>
        <v>1</v>
      </c>
      <c r="X53" s="247">
        <f t="shared" si="22"/>
        <v>1</v>
      </c>
      <c r="Y53" s="247">
        <f t="shared" si="23"/>
        <v>1</v>
      </c>
      <c r="Z53" s="226"/>
      <c r="AA53" s="107">
        <v>102</v>
      </c>
      <c r="AB53" s="249">
        <f t="shared" si="24"/>
        <v>0.93606199999999984</v>
      </c>
      <c r="AC53" s="249">
        <f t="shared" si="25"/>
        <v>0.81736151999999995</v>
      </c>
      <c r="AD53" s="249">
        <f t="shared" si="26"/>
        <v>0.90638687999999989</v>
      </c>
    </row>
    <row r="54" spans="1:32" x14ac:dyDescent="0.2">
      <c r="B54" s="103"/>
    </row>
    <row r="55" spans="1:32" x14ac:dyDescent="0.2">
      <c r="B55" s="103"/>
    </row>
    <row r="56" spans="1:32" x14ac:dyDescent="0.2">
      <c r="B56" s="103"/>
    </row>
  </sheetData>
  <mergeCells count="6">
    <mergeCell ref="A11:B11"/>
    <mergeCell ref="V11:W11"/>
    <mergeCell ref="Q11:R11"/>
    <mergeCell ref="AA11:AB11"/>
    <mergeCell ref="L11:M11"/>
    <mergeCell ref="G11:H11"/>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0CB3C-BA42-4625-9D6B-36E3388BAAAD}">
  <dimension ref="A2:AA51"/>
  <sheetViews>
    <sheetView zoomScale="130" zoomScaleNormal="130" workbookViewId="0">
      <selection activeCell="G13" sqref="G13"/>
    </sheetView>
  </sheetViews>
  <sheetFormatPr baseColWidth="10" defaultColWidth="8.83203125" defaultRowHeight="15" x14ac:dyDescent="0.2"/>
  <cols>
    <col min="1" max="1" width="18.83203125" customWidth="1"/>
    <col min="2" max="2" width="11.5" customWidth="1"/>
    <col min="3" max="3" width="3.5" customWidth="1"/>
    <col min="4" max="4" width="9.1640625" customWidth="1"/>
    <col min="5" max="5" width="12.5" customWidth="1"/>
    <col min="6" max="6" width="11.83203125" customWidth="1"/>
    <col min="8" max="8" width="3.6640625" customWidth="1"/>
    <col min="9" max="9" width="11.1640625" customWidth="1"/>
    <col min="10" max="10" width="9.83203125" customWidth="1"/>
    <col min="11" max="11" width="11.1640625" customWidth="1"/>
    <col min="12" max="12" width="12.5" customWidth="1"/>
    <col min="13" max="13" width="4.5" customWidth="1"/>
    <col min="14" max="14" width="11.5" style="3" customWidth="1"/>
    <col min="15" max="17" width="8.83203125" style="3"/>
    <col min="18" max="18" width="3.5" customWidth="1"/>
    <col min="19" max="19" width="8.5" style="3" customWidth="1"/>
    <col min="20" max="20" width="10.5" style="3" customWidth="1"/>
    <col min="21" max="21" width="10.83203125" style="3" customWidth="1"/>
    <col min="22" max="22" width="11.83203125" style="3" customWidth="1"/>
    <col min="23" max="23" width="5" style="3" customWidth="1"/>
    <col min="24" max="24" width="11.1640625" style="3" customWidth="1"/>
    <col min="25" max="25" width="10.5" style="3" customWidth="1"/>
    <col min="26" max="26" width="8.83203125" style="3"/>
    <col min="27" max="27" width="10.1640625" style="3" customWidth="1"/>
    <col min="2000" max="2000" width="2.5" customWidth="1"/>
  </cols>
  <sheetData>
    <row r="2" spans="1:27" x14ac:dyDescent="0.2"/>
    <row r="3" spans="1:27" x14ac:dyDescent="0.2">
      <c r="A3" s="47" t="s">
        <v>505</v>
      </c>
      <c r="B3" s="74">
        <v>0.84199999999999997</v>
      </c>
      <c r="C3" s="75"/>
    </row>
    <row r="4" spans="1:27" x14ac:dyDescent="0.2">
      <c r="A4" s="47" t="s">
        <v>501</v>
      </c>
      <c r="B4" s="74">
        <v>0.77900000000000003</v>
      </c>
      <c r="C4" s="75"/>
    </row>
    <row r="5" spans="1:27" x14ac:dyDescent="0.2">
      <c r="A5" s="47" t="s">
        <v>506</v>
      </c>
      <c r="B5" s="74">
        <v>0.82099999999999995</v>
      </c>
      <c r="C5" s="75"/>
    </row>
    <row r="6" spans="1:27" x14ac:dyDescent="0.2">
      <c r="A6" s="47" t="s">
        <v>507</v>
      </c>
      <c r="B6" s="74">
        <v>0.70299999999999996</v>
      </c>
      <c r="C6" s="75"/>
    </row>
    <row r="7" spans="1:27" x14ac:dyDescent="0.2">
      <c r="A7" s="47" t="s">
        <v>508</v>
      </c>
      <c r="B7" s="74">
        <v>0.70299999999999996</v>
      </c>
      <c r="C7" s="75"/>
    </row>
    <row r="8" spans="1:27" x14ac:dyDescent="0.2">
      <c r="A8" s="47" t="s">
        <v>487</v>
      </c>
      <c r="B8" s="74">
        <v>0.75</v>
      </c>
      <c r="C8" s="75"/>
      <c r="L8" s="121"/>
      <c r="M8" s="121"/>
    </row>
    <row r="9" spans="1:27" x14ac:dyDescent="0.2">
      <c r="B9" s="75"/>
      <c r="C9" s="75"/>
    </row>
    <row r="10" spans="1:27" x14ac:dyDescent="0.2">
      <c r="B10" s="75"/>
      <c r="C10" s="75"/>
    </row>
    <row r="11" spans="1:27" x14ac:dyDescent="0.2">
      <c r="D11" s="622" t="s">
        <v>498</v>
      </c>
      <c r="E11" s="622"/>
      <c r="F11" s="622"/>
      <c r="G11" s="622"/>
      <c r="H11" s="3"/>
      <c r="I11" s="618" t="s">
        <v>501</v>
      </c>
      <c r="J11" s="618"/>
      <c r="K11" s="618"/>
      <c r="L11" s="618"/>
      <c r="M11" s="3"/>
      <c r="N11" s="619" t="s">
        <v>504</v>
      </c>
      <c r="O11" s="619"/>
      <c r="P11" s="619"/>
      <c r="Q11" s="619"/>
      <c r="R11" s="3"/>
      <c r="S11" s="620" t="s">
        <v>503</v>
      </c>
      <c r="T11" s="620"/>
      <c r="U11" s="620"/>
      <c r="V11" s="620"/>
      <c r="X11" s="621" t="s">
        <v>684</v>
      </c>
      <c r="Y11" s="621"/>
      <c r="Z11" s="621"/>
      <c r="AA11" s="621"/>
    </row>
    <row r="12" spans="1:27" x14ac:dyDescent="0.2">
      <c r="A12" s="105" t="s">
        <v>488</v>
      </c>
      <c r="B12" s="105" t="s">
        <v>492</v>
      </c>
      <c r="C12" s="105"/>
      <c r="D12" s="260" t="s">
        <v>674</v>
      </c>
      <c r="E12" s="261" t="s">
        <v>329</v>
      </c>
      <c r="F12" s="261" t="s">
        <v>499</v>
      </c>
      <c r="G12" s="262" t="s">
        <v>502</v>
      </c>
      <c r="H12" s="3"/>
      <c r="I12" t="s">
        <v>674</v>
      </c>
      <c r="J12" s="3" t="s">
        <v>329</v>
      </c>
      <c r="K12" s="3" t="s">
        <v>499</v>
      </c>
      <c r="L12" s="3" t="s">
        <v>500</v>
      </c>
      <c r="M12" s="3"/>
      <c r="N12" s="3" t="s">
        <v>674</v>
      </c>
      <c r="O12" s="3" t="s">
        <v>329</v>
      </c>
      <c r="P12" s="3" t="s">
        <v>499</v>
      </c>
      <c r="Q12" s="3" t="s">
        <v>500</v>
      </c>
      <c r="R12" s="3"/>
      <c r="S12" s="3" t="s">
        <v>674</v>
      </c>
      <c r="T12" s="3" t="s">
        <v>329</v>
      </c>
      <c r="U12" s="3" t="s">
        <v>499</v>
      </c>
      <c r="V12" s="3" t="s">
        <v>500</v>
      </c>
      <c r="X12" s="3" t="s">
        <v>674</v>
      </c>
      <c r="Y12" s="3" t="s">
        <v>329</v>
      </c>
      <c r="Z12" s="3" t="s">
        <v>499</v>
      </c>
      <c r="AA12" s="3" t="s">
        <v>500</v>
      </c>
    </row>
    <row r="13" spans="1:27" x14ac:dyDescent="0.2">
      <c r="A13" s="107">
        <v>63</v>
      </c>
      <c r="B13" s="107">
        <v>70</v>
      </c>
      <c r="C13" s="3"/>
      <c r="D13" s="107">
        <v>63</v>
      </c>
      <c r="E13" s="263">
        <f t="shared" ref="E13:E51" si="0">u_noevent*(0.9508566 + (0.0212126*1) - (0.0002587*A13)- (0.0000332*(A13^2)))</f>
        <v>0.69380825260000012</v>
      </c>
      <c r="F13" s="263">
        <f t="shared" ref="F13:F51" si="1">u_noevent*(0.9508566 + (0.0212126*0) - (0.0002587*B13)- (0.0000332*(B13^2)))</f>
        <v>0.64839691919999998</v>
      </c>
      <c r="G13" s="264">
        <f t="shared" ref="G13:G51" si="2">(E13*male_proportion_STEMI)+(F13*(1-male_proportion_STEMI))</f>
        <v>0.68245541925000008</v>
      </c>
      <c r="H13" s="165"/>
      <c r="I13" s="107">
        <v>63</v>
      </c>
      <c r="J13" s="118">
        <f>u_rinfar*(0.9508566 + (0.0212126*1) - (0.0002587*A13)- (0.0000332*(A13^2)))</f>
        <v>0.64189623370000015</v>
      </c>
      <c r="K13" s="118">
        <f>u_rinfar*(0.9508566 + (0.0212126*0) - (0.0002587*B13)- (0.0000332*(B13^2)))</f>
        <v>0.59988266040000005</v>
      </c>
      <c r="L13" s="118">
        <f t="shared" ref="L13:L51" si="3">(J13*male_proportion_STEMI)+(K13*(1-male_proportion_STEMI))</f>
        <v>0.6313928403750001</v>
      </c>
      <c r="M13" s="165"/>
      <c r="N13" s="107">
        <v>63</v>
      </c>
      <c r="O13" s="77">
        <f t="shared" ref="O13:O51" si="4">u_post_rinfar*(0.9508566 + (0.0212126*1) - (0.0002587*A13)- (0.0000332*(A13^2)))</f>
        <v>0.67650424630000006</v>
      </c>
      <c r="P13" s="77">
        <f t="shared" ref="P13:P51" si="5">u_post_rinfar*(0.9508566 + (0.0212126*0) - (0.0002587*B13)- (0.0000332*(B13^2)))</f>
        <v>0.63222549959999996</v>
      </c>
      <c r="Q13" s="77">
        <f t="shared" ref="Q13:Q51" si="6">(O13*male_proportion_STEMI)+(P13*(1-male_proportion_STEMI))</f>
        <v>0.66543455962500009</v>
      </c>
      <c r="R13" s="165"/>
      <c r="S13" s="107">
        <v>63</v>
      </c>
      <c r="T13" s="119">
        <f t="shared" ref="T13:T51" si="7">u_stk*(0.9508566 + (0.0212126*1) - (0.0002587*A13)- (0.0000332*(A13^2)))</f>
        <v>0.57927221090000003</v>
      </c>
      <c r="U13" s="119">
        <f t="shared" ref="U13:U51" si="8">u_stk*(0.9508566 + (0.0212126*0) - (0.0002587*B13)- (0.0000332*(B13^2)))</f>
        <v>0.54135752279999994</v>
      </c>
      <c r="V13" s="119">
        <f t="shared" ref="V13:V51" si="9">(T13*male_proportion_STEMI)+(U13*(1-male_proportion_STEMI))</f>
        <v>0.56979353887499995</v>
      </c>
      <c r="W13" s="165"/>
      <c r="X13" s="107">
        <v>63</v>
      </c>
      <c r="Y13" s="120">
        <f t="shared" ref="Y13:Y51" si="10">u_post_stk*(0.9508566 + (0.0212126*1) - (0.0002587*A13)- (0.0000332*(A13^2)))</f>
        <v>0.57927221090000003</v>
      </c>
      <c r="Z13" s="120">
        <f t="shared" ref="Z13:Z51" si="11">u_post_stk*(0.9508566 + (0.0212126*0) - (0.0002587*B13)- (0.0000332*(B13^2)))</f>
        <v>0.54135752279999994</v>
      </c>
      <c r="AA13" s="120">
        <f t="shared" ref="AA13:AA51" si="12">(Y13*male_proportion_STEMI)+(Z13*(1-male_proportion_STEMI))</f>
        <v>0.56979353887499995</v>
      </c>
    </row>
    <row r="14" spans="1:27" x14ac:dyDescent="0.2">
      <c r="A14" s="107">
        <v>64</v>
      </c>
      <c r="B14" s="107">
        <v>71</v>
      </c>
      <c r="C14" s="3"/>
      <c r="D14" s="107">
        <v>64</v>
      </c>
      <c r="E14" s="263">
        <f t="shared" si="0"/>
        <v>0.69004021840000007</v>
      </c>
      <c r="F14" s="263">
        <f t="shared" si="1"/>
        <v>0.64423752340000007</v>
      </c>
      <c r="G14" s="264">
        <f t="shared" si="2"/>
        <v>0.6785895446500001</v>
      </c>
      <c r="H14" s="165"/>
      <c r="I14" s="107">
        <v>64</v>
      </c>
      <c r="J14" s="118">
        <f t="shared" ref="J14:J51" si="13">u_rinfar*(0.9508566 + (0.0212126*1) - (0.0002587*A14)- (0.0000332*(A14^2)))</f>
        <v>0.63841013080000009</v>
      </c>
      <c r="K14" s="118">
        <f t="shared" ref="K14:K51" si="14">u_rinfar*(0.9508566 + (0.0212126*0) - (0.0002587*B14)- (0.0000332*(B14^2)))</f>
        <v>0.59603447830000011</v>
      </c>
      <c r="L14" s="118">
        <f t="shared" si="3"/>
        <v>0.62781621767500007</v>
      </c>
      <c r="M14" s="165"/>
      <c r="N14" s="107">
        <v>64</v>
      </c>
      <c r="O14" s="77">
        <f t="shared" si="4"/>
        <v>0.67283018920000004</v>
      </c>
      <c r="P14" s="77">
        <f t="shared" si="5"/>
        <v>0.62816984170000001</v>
      </c>
      <c r="Q14" s="77">
        <f t="shared" si="6"/>
        <v>0.66166510232500009</v>
      </c>
      <c r="R14" s="165"/>
      <c r="S14" s="107">
        <v>64</v>
      </c>
      <c r="T14" s="119">
        <f t="shared" si="7"/>
        <v>0.57612621559999999</v>
      </c>
      <c r="U14" s="119">
        <f t="shared" si="8"/>
        <v>0.53788477310000005</v>
      </c>
      <c r="V14" s="119">
        <f t="shared" si="9"/>
        <v>0.56656585497500001</v>
      </c>
      <c r="W14" s="165"/>
      <c r="X14" s="107">
        <v>64</v>
      </c>
      <c r="Y14" s="120">
        <f t="shared" si="10"/>
        <v>0.57612621559999999</v>
      </c>
      <c r="Z14" s="120">
        <f t="shared" si="11"/>
        <v>0.53788477310000005</v>
      </c>
      <c r="AA14" s="120">
        <f t="shared" si="12"/>
        <v>0.56656585497500001</v>
      </c>
    </row>
    <row r="15" spans="1:27" x14ac:dyDescent="0.2">
      <c r="A15" s="107">
        <v>65</v>
      </c>
      <c r="B15" s="107">
        <v>72</v>
      </c>
      <c r="C15" s="3"/>
      <c r="D15" s="107">
        <v>65</v>
      </c>
      <c r="E15" s="263">
        <f t="shared" si="0"/>
        <v>0.68621627540000008</v>
      </c>
      <c r="F15" s="263">
        <f t="shared" si="1"/>
        <v>0.64002221879999999</v>
      </c>
      <c r="G15" s="264">
        <f t="shared" si="2"/>
        <v>0.67466776125000005</v>
      </c>
      <c r="H15" s="165"/>
      <c r="I15" s="107">
        <v>65</v>
      </c>
      <c r="J15" s="118">
        <f t="shared" si="13"/>
        <v>0.63487230230000014</v>
      </c>
      <c r="K15" s="118">
        <f t="shared" si="14"/>
        <v>0.59213457060000008</v>
      </c>
      <c r="L15" s="118">
        <f t="shared" si="3"/>
        <v>0.62418786937500004</v>
      </c>
      <c r="M15" s="165"/>
      <c r="N15" s="107">
        <v>65</v>
      </c>
      <c r="O15" s="77">
        <f t="shared" si="4"/>
        <v>0.66910161769999998</v>
      </c>
      <c r="P15" s="77">
        <f t="shared" si="5"/>
        <v>0.62405966940000002</v>
      </c>
      <c r="Q15" s="77">
        <f t="shared" si="6"/>
        <v>0.65784113062500005</v>
      </c>
      <c r="R15" s="165"/>
      <c r="S15" s="107">
        <v>65</v>
      </c>
      <c r="T15" s="119">
        <f t="shared" si="7"/>
        <v>0.57293354110000005</v>
      </c>
      <c r="U15" s="119">
        <f t="shared" si="8"/>
        <v>0.53436534420000004</v>
      </c>
      <c r="V15" s="119">
        <f t="shared" si="9"/>
        <v>0.56329149187500005</v>
      </c>
      <c r="W15" s="165"/>
      <c r="X15" s="107">
        <v>65</v>
      </c>
      <c r="Y15" s="120">
        <f t="shared" si="10"/>
        <v>0.57293354110000005</v>
      </c>
      <c r="Z15" s="120">
        <f t="shared" si="11"/>
        <v>0.53436534420000004</v>
      </c>
      <c r="AA15" s="120">
        <f t="shared" si="12"/>
        <v>0.56329149187500005</v>
      </c>
    </row>
    <row r="16" spans="1:27" x14ac:dyDescent="0.2">
      <c r="A16" s="107">
        <v>66</v>
      </c>
      <c r="B16" s="107">
        <v>73</v>
      </c>
      <c r="C16" s="3"/>
      <c r="D16" s="107">
        <v>66</v>
      </c>
      <c r="E16" s="263">
        <f t="shared" si="0"/>
        <v>0.68233642360000002</v>
      </c>
      <c r="F16" s="263">
        <f t="shared" si="1"/>
        <v>0.63575100540000007</v>
      </c>
      <c r="G16" s="264">
        <f t="shared" si="2"/>
        <v>0.67069006905000006</v>
      </c>
      <c r="H16" s="165"/>
      <c r="I16" s="107">
        <v>66</v>
      </c>
      <c r="J16" s="118">
        <f t="shared" si="13"/>
        <v>0.63128274820000008</v>
      </c>
      <c r="K16" s="118">
        <f t="shared" si="14"/>
        <v>0.58818293730000015</v>
      </c>
      <c r="L16" s="118">
        <f t="shared" si="3"/>
        <v>0.62050779547500012</v>
      </c>
      <c r="M16" s="165"/>
      <c r="N16" s="107">
        <v>66</v>
      </c>
      <c r="O16" s="77">
        <f t="shared" si="4"/>
        <v>0.6653185318</v>
      </c>
      <c r="P16" s="77">
        <f t="shared" si="5"/>
        <v>0.6198949827000001</v>
      </c>
      <c r="Q16" s="77">
        <f t="shared" si="6"/>
        <v>0.65396264452499997</v>
      </c>
      <c r="R16" s="165"/>
      <c r="S16" s="107">
        <v>66</v>
      </c>
      <c r="T16" s="119">
        <f t="shared" si="7"/>
        <v>0.5696941874</v>
      </c>
      <c r="U16" s="119">
        <f t="shared" si="8"/>
        <v>0.53079923610000002</v>
      </c>
      <c r="V16" s="119">
        <f t="shared" si="9"/>
        <v>0.55997044957499997</v>
      </c>
      <c r="W16" s="165"/>
      <c r="X16" s="107">
        <v>66</v>
      </c>
      <c r="Y16" s="120">
        <f t="shared" si="10"/>
        <v>0.5696941874</v>
      </c>
      <c r="Z16" s="120">
        <f t="shared" si="11"/>
        <v>0.53079923610000002</v>
      </c>
      <c r="AA16" s="120">
        <f t="shared" si="12"/>
        <v>0.55997044957499997</v>
      </c>
    </row>
    <row r="17" spans="1:27" x14ac:dyDescent="0.2">
      <c r="A17" s="107">
        <v>67</v>
      </c>
      <c r="B17" s="107">
        <v>74</v>
      </c>
      <c r="C17" s="3"/>
      <c r="D17" s="107">
        <v>67</v>
      </c>
      <c r="E17" s="263">
        <f t="shared" si="0"/>
        <v>0.67840066300000001</v>
      </c>
      <c r="F17" s="263">
        <f t="shared" si="1"/>
        <v>0.63142388319999998</v>
      </c>
      <c r="G17" s="264">
        <f t="shared" si="2"/>
        <v>0.66665646805000001</v>
      </c>
      <c r="H17" s="165"/>
      <c r="I17" s="107">
        <v>67</v>
      </c>
      <c r="J17" s="118">
        <f t="shared" si="13"/>
        <v>0.62764146850000002</v>
      </c>
      <c r="K17" s="118">
        <f t="shared" si="14"/>
        <v>0.58417957840000012</v>
      </c>
      <c r="L17" s="118">
        <f t="shared" si="3"/>
        <v>0.6167759959750001</v>
      </c>
      <c r="M17" s="165"/>
      <c r="N17" s="107">
        <v>67</v>
      </c>
      <c r="O17" s="77">
        <f t="shared" si="4"/>
        <v>0.66148093149999998</v>
      </c>
      <c r="P17" s="77">
        <f t="shared" si="5"/>
        <v>0.61567578160000003</v>
      </c>
      <c r="Q17" s="77">
        <f t="shared" si="6"/>
        <v>0.65002964402499996</v>
      </c>
      <c r="R17" s="165"/>
      <c r="S17" s="107">
        <v>67</v>
      </c>
      <c r="T17" s="119">
        <f t="shared" si="7"/>
        <v>0.56640815450000004</v>
      </c>
      <c r="U17" s="119">
        <f t="shared" si="8"/>
        <v>0.52718644879999998</v>
      </c>
      <c r="V17" s="119">
        <f t="shared" si="9"/>
        <v>0.55660272807500011</v>
      </c>
      <c r="W17" s="165"/>
      <c r="X17" s="107">
        <v>67</v>
      </c>
      <c r="Y17" s="120">
        <f t="shared" si="10"/>
        <v>0.56640815450000004</v>
      </c>
      <c r="Z17" s="120">
        <f t="shared" si="11"/>
        <v>0.52718644879999998</v>
      </c>
      <c r="AA17" s="120">
        <f t="shared" si="12"/>
        <v>0.55660272807500011</v>
      </c>
    </row>
    <row r="18" spans="1:27" x14ac:dyDescent="0.2">
      <c r="A18" s="107">
        <v>68</v>
      </c>
      <c r="B18" s="107">
        <v>75</v>
      </c>
      <c r="C18" s="3"/>
      <c r="D18" s="107">
        <v>68</v>
      </c>
      <c r="E18" s="263">
        <f t="shared" si="0"/>
        <v>0.67440899359999995</v>
      </c>
      <c r="F18" s="263">
        <f t="shared" si="1"/>
        <v>0.62704085220000005</v>
      </c>
      <c r="G18" s="264">
        <f t="shared" si="2"/>
        <v>0.66256695824999989</v>
      </c>
      <c r="H18" s="165"/>
      <c r="I18" s="107">
        <v>68</v>
      </c>
      <c r="J18" s="118">
        <f t="shared" si="13"/>
        <v>0.62394846320000008</v>
      </c>
      <c r="K18" s="118">
        <f t="shared" si="14"/>
        <v>0.58012449390000009</v>
      </c>
      <c r="L18" s="118">
        <f t="shared" si="3"/>
        <v>0.61299247087500008</v>
      </c>
      <c r="M18" s="165"/>
      <c r="N18" s="107">
        <v>68</v>
      </c>
      <c r="O18" s="77">
        <f t="shared" si="4"/>
        <v>0.65758881680000003</v>
      </c>
      <c r="P18" s="77">
        <f t="shared" si="5"/>
        <v>0.61140206610000003</v>
      </c>
      <c r="Q18" s="77">
        <f t="shared" si="6"/>
        <v>0.64604212912500003</v>
      </c>
      <c r="R18" s="165"/>
      <c r="S18" s="107">
        <v>68</v>
      </c>
      <c r="T18" s="119">
        <f t="shared" si="7"/>
        <v>0.56307544239999996</v>
      </c>
      <c r="U18" s="119">
        <f t="shared" si="8"/>
        <v>0.52352698230000005</v>
      </c>
      <c r="V18" s="119">
        <f t="shared" si="9"/>
        <v>0.55318832737500001</v>
      </c>
      <c r="W18" s="165"/>
      <c r="X18" s="107">
        <v>68</v>
      </c>
      <c r="Y18" s="120">
        <f t="shared" si="10"/>
        <v>0.56307544239999996</v>
      </c>
      <c r="Z18" s="120">
        <f t="shared" si="11"/>
        <v>0.52352698230000005</v>
      </c>
      <c r="AA18" s="120">
        <f t="shared" si="12"/>
        <v>0.55318832737500001</v>
      </c>
    </row>
    <row r="19" spans="1:27" x14ac:dyDescent="0.2">
      <c r="A19" s="107">
        <v>69</v>
      </c>
      <c r="B19" s="107">
        <v>76</v>
      </c>
      <c r="C19" s="3"/>
      <c r="D19" s="107">
        <v>69</v>
      </c>
      <c r="E19" s="263">
        <f t="shared" si="0"/>
        <v>0.67036141540000005</v>
      </c>
      <c r="F19" s="263">
        <f t="shared" si="1"/>
        <v>0.62260191239999996</v>
      </c>
      <c r="G19" s="264">
        <f t="shared" si="2"/>
        <v>0.65842153965000005</v>
      </c>
      <c r="H19" s="165"/>
      <c r="I19" s="107">
        <v>69</v>
      </c>
      <c r="J19" s="118">
        <f t="shared" si="13"/>
        <v>0.62020373230000003</v>
      </c>
      <c r="K19" s="118">
        <f t="shared" si="14"/>
        <v>0.57601768379999996</v>
      </c>
      <c r="L19" s="118">
        <f t="shared" si="3"/>
        <v>0.60915722017499996</v>
      </c>
      <c r="M19" s="165"/>
      <c r="N19" s="107">
        <v>69</v>
      </c>
      <c r="O19" s="77">
        <f t="shared" si="4"/>
        <v>0.65364218770000004</v>
      </c>
      <c r="P19" s="77">
        <f t="shared" si="5"/>
        <v>0.60707383619999999</v>
      </c>
      <c r="Q19" s="77">
        <f t="shared" si="6"/>
        <v>0.64200009982500006</v>
      </c>
      <c r="R19" s="165"/>
      <c r="S19" s="107">
        <v>69</v>
      </c>
      <c r="T19" s="119">
        <f t="shared" si="7"/>
        <v>0.55969605109999998</v>
      </c>
      <c r="U19" s="119">
        <f t="shared" si="8"/>
        <v>0.5198208366</v>
      </c>
      <c r="V19" s="119">
        <f t="shared" si="9"/>
        <v>0.54972724747500001</v>
      </c>
      <c r="W19" s="165"/>
      <c r="X19" s="107">
        <v>69</v>
      </c>
      <c r="Y19" s="120">
        <f t="shared" si="10"/>
        <v>0.55969605109999998</v>
      </c>
      <c r="Z19" s="120">
        <f t="shared" si="11"/>
        <v>0.5198208366</v>
      </c>
      <c r="AA19" s="120">
        <f t="shared" si="12"/>
        <v>0.54972724747500001</v>
      </c>
    </row>
    <row r="20" spans="1:27" x14ac:dyDescent="0.2">
      <c r="A20" s="107">
        <v>70</v>
      </c>
      <c r="B20" s="107">
        <v>77</v>
      </c>
      <c r="C20" s="3"/>
      <c r="D20" s="107">
        <v>70</v>
      </c>
      <c r="E20" s="263">
        <f t="shared" si="0"/>
        <v>0.66625792840000009</v>
      </c>
      <c r="F20" s="263">
        <f t="shared" si="1"/>
        <v>0.61810706380000002</v>
      </c>
      <c r="G20" s="264">
        <f t="shared" si="2"/>
        <v>0.65422021225000004</v>
      </c>
      <c r="H20" s="165"/>
      <c r="I20" s="107">
        <v>70</v>
      </c>
      <c r="J20" s="118">
        <f t="shared" si="13"/>
        <v>0.6164072758000001</v>
      </c>
      <c r="K20" s="118">
        <f t="shared" si="14"/>
        <v>0.57185914810000005</v>
      </c>
      <c r="L20" s="118">
        <f t="shared" si="3"/>
        <v>0.60527024387500006</v>
      </c>
      <c r="M20" s="165"/>
      <c r="N20" s="107">
        <v>70</v>
      </c>
      <c r="O20" s="77">
        <f t="shared" si="4"/>
        <v>0.64964104420000002</v>
      </c>
      <c r="P20" s="77">
        <f t="shared" si="5"/>
        <v>0.60269109190000003</v>
      </c>
      <c r="Q20" s="77">
        <f t="shared" si="6"/>
        <v>0.63790355612500005</v>
      </c>
      <c r="R20" s="165"/>
      <c r="S20" s="107">
        <v>70</v>
      </c>
      <c r="T20" s="119">
        <f t="shared" si="7"/>
        <v>0.55626998059999999</v>
      </c>
      <c r="U20" s="119">
        <f t="shared" si="8"/>
        <v>0.51606801170000005</v>
      </c>
      <c r="V20" s="119">
        <f t="shared" si="9"/>
        <v>0.54621948837500001</v>
      </c>
      <c r="W20" s="165"/>
      <c r="X20" s="107">
        <v>70</v>
      </c>
      <c r="Y20" s="120">
        <f t="shared" si="10"/>
        <v>0.55626998059999999</v>
      </c>
      <c r="Z20" s="120">
        <f t="shared" si="11"/>
        <v>0.51606801170000005</v>
      </c>
      <c r="AA20" s="120">
        <f t="shared" si="12"/>
        <v>0.54621948837500001</v>
      </c>
    </row>
    <row r="21" spans="1:27" x14ac:dyDescent="0.2">
      <c r="A21" s="107">
        <v>71</v>
      </c>
      <c r="B21" s="107">
        <v>78</v>
      </c>
      <c r="C21" s="3"/>
      <c r="D21" s="107">
        <v>71</v>
      </c>
      <c r="E21" s="263">
        <f t="shared" si="0"/>
        <v>0.66209853260000007</v>
      </c>
      <c r="F21" s="263">
        <f t="shared" si="1"/>
        <v>0.61355630640000003</v>
      </c>
      <c r="G21" s="264">
        <f t="shared" si="2"/>
        <v>0.64996297605000009</v>
      </c>
      <c r="H21" s="165"/>
      <c r="I21" s="107">
        <v>71</v>
      </c>
      <c r="J21" s="118">
        <f t="shared" si="13"/>
        <v>0.61255909370000006</v>
      </c>
      <c r="K21" s="118">
        <f t="shared" si="14"/>
        <v>0.56764888680000003</v>
      </c>
      <c r="L21" s="118">
        <f t="shared" si="3"/>
        <v>0.60133154197500005</v>
      </c>
      <c r="M21" s="165"/>
      <c r="N21" s="107">
        <v>71</v>
      </c>
      <c r="O21" s="77">
        <f t="shared" si="4"/>
        <v>0.64558538630000006</v>
      </c>
      <c r="P21" s="77">
        <f t="shared" si="5"/>
        <v>0.59825383320000003</v>
      </c>
      <c r="Q21" s="77">
        <f t="shared" si="6"/>
        <v>0.633752498025</v>
      </c>
      <c r="R21" s="165"/>
      <c r="S21" s="107">
        <v>71</v>
      </c>
      <c r="T21" s="119">
        <f t="shared" si="7"/>
        <v>0.55279723089999999</v>
      </c>
      <c r="U21" s="119">
        <f t="shared" si="8"/>
        <v>0.51226850759999998</v>
      </c>
      <c r="V21" s="119">
        <f t="shared" si="9"/>
        <v>0.54266505007499999</v>
      </c>
      <c r="W21" s="165"/>
      <c r="X21" s="107">
        <v>71</v>
      </c>
      <c r="Y21" s="120">
        <f t="shared" si="10"/>
        <v>0.55279723089999999</v>
      </c>
      <c r="Z21" s="120">
        <f t="shared" si="11"/>
        <v>0.51226850759999998</v>
      </c>
      <c r="AA21" s="120">
        <f t="shared" si="12"/>
        <v>0.54266505007499999</v>
      </c>
    </row>
    <row r="22" spans="1:27" x14ac:dyDescent="0.2">
      <c r="A22" s="107">
        <v>72</v>
      </c>
      <c r="B22" s="107">
        <v>79</v>
      </c>
      <c r="C22" s="3"/>
      <c r="D22" s="107">
        <v>72</v>
      </c>
      <c r="E22" s="263">
        <f t="shared" si="0"/>
        <v>0.65788322799999999</v>
      </c>
      <c r="F22" s="263">
        <f t="shared" si="1"/>
        <v>0.60894964020000009</v>
      </c>
      <c r="G22" s="264">
        <f t="shared" si="2"/>
        <v>0.64564983105000007</v>
      </c>
      <c r="H22" s="165"/>
      <c r="I22" s="107">
        <v>72</v>
      </c>
      <c r="J22" s="118">
        <f t="shared" si="13"/>
        <v>0.60865918600000002</v>
      </c>
      <c r="K22" s="118">
        <f t="shared" si="14"/>
        <v>0.56338689990000013</v>
      </c>
      <c r="L22" s="118">
        <f t="shared" si="3"/>
        <v>0.59734111447500005</v>
      </c>
      <c r="M22" s="165"/>
      <c r="N22" s="107">
        <v>72</v>
      </c>
      <c r="O22" s="77">
        <f t="shared" si="4"/>
        <v>0.64147521399999996</v>
      </c>
      <c r="P22" s="77">
        <f t="shared" si="5"/>
        <v>0.59376206009999999</v>
      </c>
      <c r="Q22" s="77">
        <f t="shared" si="6"/>
        <v>0.62954692552499991</v>
      </c>
      <c r="R22" s="165"/>
      <c r="S22" s="107">
        <v>72</v>
      </c>
      <c r="T22" s="119">
        <f t="shared" si="7"/>
        <v>0.54927780199999998</v>
      </c>
      <c r="U22" s="119">
        <f t="shared" si="8"/>
        <v>0.50842232430000001</v>
      </c>
      <c r="V22" s="119">
        <f t="shared" si="9"/>
        <v>0.53906393257499996</v>
      </c>
      <c r="W22" s="165"/>
      <c r="X22" s="107">
        <v>72</v>
      </c>
      <c r="Y22" s="120">
        <f t="shared" si="10"/>
        <v>0.54927780199999998</v>
      </c>
      <c r="Z22" s="120">
        <f t="shared" si="11"/>
        <v>0.50842232430000001</v>
      </c>
      <c r="AA22" s="120">
        <f t="shared" si="12"/>
        <v>0.53906393257499996</v>
      </c>
    </row>
    <row r="23" spans="1:27" x14ac:dyDescent="0.2">
      <c r="A23" s="107">
        <v>73</v>
      </c>
      <c r="B23" s="107">
        <v>80</v>
      </c>
      <c r="C23" s="3"/>
      <c r="D23" s="107">
        <v>73</v>
      </c>
      <c r="E23" s="263">
        <f t="shared" si="0"/>
        <v>0.65361201460000007</v>
      </c>
      <c r="F23" s="263">
        <f t="shared" si="1"/>
        <v>0.60428706519999997</v>
      </c>
      <c r="G23" s="264">
        <f t="shared" si="2"/>
        <v>0.64128077724999999</v>
      </c>
      <c r="H23" s="165"/>
      <c r="I23" s="107">
        <v>73</v>
      </c>
      <c r="J23" s="118">
        <f t="shared" si="13"/>
        <v>0.60470755270000009</v>
      </c>
      <c r="K23" s="118">
        <f t="shared" si="14"/>
        <v>0.5590731874</v>
      </c>
      <c r="L23" s="118">
        <f t="shared" si="3"/>
        <v>0.59329896137500004</v>
      </c>
      <c r="M23" s="165"/>
      <c r="N23" s="107">
        <v>73</v>
      </c>
      <c r="O23" s="77">
        <f t="shared" si="4"/>
        <v>0.63731052730000004</v>
      </c>
      <c r="P23" s="77">
        <f t="shared" si="5"/>
        <v>0.58921577260000002</v>
      </c>
      <c r="Q23" s="77">
        <f t="shared" si="6"/>
        <v>0.62528683862500012</v>
      </c>
      <c r="R23" s="165"/>
      <c r="S23" s="107">
        <v>73</v>
      </c>
      <c r="T23" s="119">
        <f t="shared" si="7"/>
        <v>0.54571169389999996</v>
      </c>
      <c r="U23" s="119">
        <f t="shared" si="8"/>
        <v>0.50452946180000002</v>
      </c>
      <c r="V23" s="119">
        <f t="shared" si="9"/>
        <v>0.53541613587500003</v>
      </c>
      <c r="W23" s="165"/>
      <c r="X23" s="107">
        <v>73</v>
      </c>
      <c r="Y23" s="120">
        <f t="shared" si="10"/>
        <v>0.54571169389999996</v>
      </c>
      <c r="Z23" s="120">
        <f t="shared" si="11"/>
        <v>0.50452946180000002</v>
      </c>
      <c r="AA23" s="120">
        <f t="shared" si="12"/>
        <v>0.53541613587500003</v>
      </c>
    </row>
    <row r="24" spans="1:27" x14ac:dyDescent="0.2">
      <c r="A24" s="107">
        <v>74</v>
      </c>
      <c r="B24" s="107">
        <v>81</v>
      </c>
      <c r="C24" s="3"/>
      <c r="D24" s="107">
        <v>74</v>
      </c>
      <c r="E24" s="263">
        <f t="shared" si="0"/>
        <v>0.64928489239999998</v>
      </c>
      <c r="F24" s="263">
        <f t="shared" si="1"/>
        <v>0.59956858140000013</v>
      </c>
      <c r="G24" s="264">
        <f t="shared" si="2"/>
        <v>0.63685581465000007</v>
      </c>
      <c r="H24" s="165"/>
      <c r="I24" s="107">
        <v>74</v>
      </c>
      <c r="J24" s="118">
        <f t="shared" si="13"/>
        <v>0.60070419379999995</v>
      </c>
      <c r="K24" s="118">
        <f t="shared" si="14"/>
        <v>0.55470774930000011</v>
      </c>
      <c r="L24" s="118">
        <f t="shared" si="3"/>
        <v>0.58920508267499994</v>
      </c>
      <c r="M24" s="165"/>
      <c r="N24" s="107">
        <v>74</v>
      </c>
      <c r="O24" s="77">
        <f t="shared" si="4"/>
        <v>0.63309132619999997</v>
      </c>
      <c r="P24" s="77">
        <f t="shared" si="5"/>
        <v>0.58461497070000001</v>
      </c>
      <c r="Q24" s="77">
        <f t="shared" si="6"/>
        <v>0.62097223732499995</v>
      </c>
      <c r="R24" s="165"/>
      <c r="S24" s="107">
        <v>74</v>
      </c>
      <c r="T24" s="119">
        <f t="shared" si="7"/>
        <v>0.54209890659999993</v>
      </c>
      <c r="U24" s="119">
        <f t="shared" si="8"/>
        <v>0.50058992010000003</v>
      </c>
      <c r="V24" s="119">
        <f t="shared" si="9"/>
        <v>0.53172165997499998</v>
      </c>
      <c r="W24" s="165"/>
      <c r="X24" s="107">
        <v>74</v>
      </c>
      <c r="Y24" s="120">
        <f t="shared" si="10"/>
        <v>0.54209890659999993</v>
      </c>
      <c r="Z24" s="120">
        <f t="shared" si="11"/>
        <v>0.50058992010000003</v>
      </c>
      <c r="AA24" s="120">
        <f t="shared" si="12"/>
        <v>0.53172165997499998</v>
      </c>
    </row>
    <row r="25" spans="1:27" x14ac:dyDescent="0.2">
      <c r="A25" s="107">
        <v>75</v>
      </c>
      <c r="B25" s="107">
        <v>82</v>
      </c>
      <c r="C25" s="3"/>
      <c r="D25" s="107">
        <v>75</v>
      </c>
      <c r="E25" s="263">
        <f t="shared" si="0"/>
        <v>0.64490186140000005</v>
      </c>
      <c r="F25" s="263">
        <f t="shared" si="1"/>
        <v>0.59479418880000001</v>
      </c>
      <c r="G25" s="264">
        <f t="shared" si="2"/>
        <v>0.63237494324999999</v>
      </c>
      <c r="H25" s="165"/>
      <c r="I25" s="107">
        <v>75</v>
      </c>
      <c r="J25" s="118">
        <f t="shared" si="13"/>
        <v>0.59664910930000015</v>
      </c>
      <c r="K25" s="118">
        <f t="shared" si="14"/>
        <v>0.55029058559999999</v>
      </c>
      <c r="L25" s="118">
        <f t="shared" si="3"/>
        <v>0.58505947837500005</v>
      </c>
      <c r="M25" s="165"/>
      <c r="N25" s="107">
        <v>75</v>
      </c>
      <c r="O25" s="77">
        <f t="shared" si="4"/>
        <v>0.62881761070000008</v>
      </c>
      <c r="P25" s="77">
        <f t="shared" si="5"/>
        <v>0.57995965439999997</v>
      </c>
      <c r="Q25" s="77">
        <f t="shared" si="6"/>
        <v>0.61660312162500008</v>
      </c>
      <c r="R25" s="165"/>
      <c r="S25" s="107">
        <v>75</v>
      </c>
      <c r="T25" s="119">
        <f t="shared" si="7"/>
        <v>0.5384394401</v>
      </c>
      <c r="U25" s="119">
        <f t="shared" si="8"/>
        <v>0.49660369919999997</v>
      </c>
      <c r="V25" s="119">
        <f t="shared" si="9"/>
        <v>0.52798050487500003</v>
      </c>
      <c r="W25" s="165"/>
      <c r="X25" s="107">
        <v>75</v>
      </c>
      <c r="Y25" s="120">
        <f t="shared" si="10"/>
        <v>0.5384394401</v>
      </c>
      <c r="Z25" s="120">
        <f t="shared" si="11"/>
        <v>0.49660369919999997</v>
      </c>
      <c r="AA25" s="120">
        <f t="shared" si="12"/>
        <v>0.52798050487500003</v>
      </c>
    </row>
    <row r="26" spans="1:27" x14ac:dyDescent="0.2">
      <c r="A26" s="107">
        <v>76</v>
      </c>
      <c r="B26" s="107">
        <v>83</v>
      </c>
      <c r="C26" s="3"/>
      <c r="D26" s="107">
        <v>76</v>
      </c>
      <c r="E26" s="263">
        <f t="shared" si="0"/>
        <v>0.64046292159999996</v>
      </c>
      <c r="F26" s="263">
        <f t="shared" si="1"/>
        <v>0.58996388740000005</v>
      </c>
      <c r="G26" s="264">
        <f t="shared" si="2"/>
        <v>0.62783816304999995</v>
      </c>
      <c r="H26" s="165"/>
      <c r="I26" s="107">
        <v>76</v>
      </c>
      <c r="J26" s="118">
        <f t="shared" si="13"/>
        <v>0.59254229920000001</v>
      </c>
      <c r="K26" s="118">
        <f t="shared" si="14"/>
        <v>0.5458216963000001</v>
      </c>
      <c r="L26" s="118">
        <f t="shared" si="3"/>
        <v>0.58086214847500006</v>
      </c>
      <c r="M26" s="165"/>
      <c r="N26" s="107">
        <v>76</v>
      </c>
      <c r="O26" s="77">
        <f t="shared" si="4"/>
        <v>0.62448938079999994</v>
      </c>
      <c r="P26" s="77">
        <f t="shared" si="5"/>
        <v>0.5752498237</v>
      </c>
      <c r="Q26" s="77">
        <f t="shared" si="6"/>
        <v>0.61217949152499995</v>
      </c>
      <c r="R26" s="165"/>
      <c r="S26" s="107">
        <v>76</v>
      </c>
      <c r="T26" s="119">
        <f t="shared" si="7"/>
        <v>0.53473329439999995</v>
      </c>
      <c r="U26" s="119">
        <f t="shared" si="8"/>
        <v>0.49257079910000001</v>
      </c>
      <c r="V26" s="119">
        <f t="shared" si="9"/>
        <v>0.52419267057499996</v>
      </c>
      <c r="W26" s="165"/>
      <c r="X26" s="107">
        <v>76</v>
      </c>
      <c r="Y26" s="120">
        <f t="shared" si="10"/>
        <v>0.53473329439999995</v>
      </c>
      <c r="Z26" s="120">
        <f t="shared" si="11"/>
        <v>0.49257079910000001</v>
      </c>
      <c r="AA26" s="120">
        <f t="shared" si="12"/>
        <v>0.52419267057499996</v>
      </c>
    </row>
    <row r="27" spans="1:27" x14ac:dyDescent="0.2">
      <c r="A27" s="107">
        <v>77</v>
      </c>
      <c r="B27" s="107">
        <v>84</v>
      </c>
      <c r="C27" s="3"/>
      <c r="D27" s="107">
        <v>77</v>
      </c>
      <c r="E27" s="263">
        <f t="shared" si="0"/>
        <v>0.63596807300000002</v>
      </c>
      <c r="F27" s="263">
        <f t="shared" si="1"/>
        <v>0.58507767720000003</v>
      </c>
      <c r="G27" s="264">
        <f t="shared" si="2"/>
        <v>0.62324547405000008</v>
      </c>
      <c r="H27" s="165"/>
      <c r="I27" s="107">
        <v>77</v>
      </c>
      <c r="J27" s="118">
        <f t="shared" si="13"/>
        <v>0.5883837635000001</v>
      </c>
      <c r="K27" s="118">
        <f t="shared" si="14"/>
        <v>0.54130108139999999</v>
      </c>
      <c r="L27" s="118">
        <f t="shared" si="3"/>
        <v>0.57661309297500007</v>
      </c>
      <c r="M27" s="165"/>
      <c r="N27" s="107">
        <v>77</v>
      </c>
      <c r="O27" s="77">
        <f t="shared" si="4"/>
        <v>0.62010663650000009</v>
      </c>
      <c r="P27" s="77">
        <f t="shared" si="5"/>
        <v>0.57048547859999998</v>
      </c>
      <c r="Q27" s="77">
        <f t="shared" si="6"/>
        <v>0.60770134702500012</v>
      </c>
      <c r="R27" s="165"/>
      <c r="S27" s="107">
        <v>77</v>
      </c>
      <c r="T27" s="119">
        <f t="shared" si="7"/>
        <v>0.5309804695</v>
      </c>
      <c r="U27" s="119">
        <f t="shared" si="8"/>
        <v>0.48849121979999999</v>
      </c>
      <c r="V27" s="119">
        <f t="shared" si="9"/>
        <v>0.52035815707499999</v>
      </c>
      <c r="W27" s="165"/>
      <c r="X27" s="107">
        <v>77</v>
      </c>
      <c r="Y27" s="120">
        <f t="shared" si="10"/>
        <v>0.5309804695</v>
      </c>
      <c r="Z27" s="120">
        <f t="shared" si="11"/>
        <v>0.48849121979999999</v>
      </c>
      <c r="AA27" s="120">
        <f t="shared" si="12"/>
        <v>0.52035815707499999</v>
      </c>
    </row>
    <row r="28" spans="1:27" x14ac:dyDescent="0.2">
      <c r="A28" s="107">
        <v>78</v>
      </c>
      <c r="B28" s="107">
        <v>85</v>
      </c>
      <c r="C28" s="3"/>
      <c r="D28" s="107">
        <v>78</v>
      </c>
      <c r="E28" s="263">
        <f t="shared" si="0"/>
        <v>0.63141731560000003</v>
      </c>
      <c r="F28" s="263">
        <f t="shared" si="1"/>
        <v>0.58013555819999996</v>
      </c>
      <c r="G28" s="264">
        <f t="shared" si="2"/>
        <v>0.61859687625000004</v>
      </c>
      <c r="H28" s="165"/>
      <c r="I28" s="107">
        <v>78</v>
      </c>
      <c r="J28" s="118">
        <f t="shared" si="13"/>
        <v>0.58417350220000008</v>
      </c>
      <c r="K28" s="118">
        <f t="shared" si="14"/>
        <v>0.5367287409</v>
      </c>
      <c r="L28" s="118">
        <f t="shared" si="3"/>
        <v>0.57231231187500009</v>
      </c>
      <c r="M28" s="165"/>
      <c r="N28" s="107">
        <v>78</v>
      </c>
      <c r="O28" s="77">
        <f t="shared" si="4"/>
        <v>0.61566937779999997</v>
      </c>
      <c r="P28" s="77">
        <f t="shared" si="5"/>
        <v>0.56566661910000005</v>
      </c>
      <c r="Q28" s="77">
        <f t="shared" si="6"/>
        <v>0.60316868812500002</v>
      </c>
      <c r="R28" s="165"/>
      <c r="S28" s="107">
        <v>78</v>
      </c>
      <c r="T28" s="119">
        <f t="shared" si="7"/>
        <v>0.52718096540000003</v>
      </c>
      <c r="U28" s="119">
        <f t="shared" si="8"/>
        <v>0.48436496130000001</v>
      </c>
      <c r="V28" s="119">
        <f t="shared" si="9"/>
        <v>0.51647696437500001</v>
      </c>
      <c r="W28" s="165"/>
      <c r="X28" s="107">
        <v>78</v>
      </c>
      <c r="Y28" s="120">
        <f t="shared" si="10"/>
        <v>0.52718096540000003</v>
      </c>
      <c r="Z28" s="120">
        <f t="shared" si="11"/>
        <v>0.48436496130000001</v>
      </c>
      <c r="AA28" s="120">
        <f t="shared" si="12"/>
        <v>0.51647696437500001</v>
      </c>
    </row>
    <row r="29" spans="1:27" x14ac:dyDescent="0.2">
      <c r="A29" s="107">
        <v>79</v>
      </c>
      <c r="B29" s="107">
        <v>86</v>
      </c>
      <c r="C29" s="3"/>
      <c r="D29" s="107">
        <v>79</v>
      </c>
      <c r="E29" s="263">
        <f t="shared" si="0"/>
        <v>0.62681064940000009</v>
      </c>
      <c r="F29" s="263">
        <f t="shared" si="1"/>
        <v>0.57513753040000004</v>
      </c>
      <c r="G29" s="264">
        <f t="shared" si="2"/>
        <v>0.61389236965000005</v>
      </c>
      <c r="H29" s="165"/>
      <c r="I29" s="107">
        <v>79</v>
      </c>
      <c r="J29" s="118">
        <f t="shared" si="13"/>
        <v>0.57991151530000007</v>
      </c>
      <c r="K29" s="118">
        <f t="shared" si="14"/>
        <v>0.53210467480000001</v>
      </c>
      <c r="L29" s="118">
        <f t="shared" si="3"/>
        <v>0.56795980517500011</v>
      </c>
      <c r="M29" s="165"/>
      <c r="N29" s="107">
        <v>79</v>
      </c>
      <c r="O29" s="77">
        <f t="shared" si="4"/>
        <v>0.61117760470000004</v>
      </c>
      <c r="P29" s="77">
        <f t="shared" si="5"/>
        <v>0.56079324519999996</v>
      </c>
      <c r="Q29" s="77">
        <f t="shared" si="6"/>
        <v>0.59858151482499999</v>
      </c>
      <c r="R29" s="165"/>
      <c r="S29" s="107">
        <v>79</v>
      </c>
      <c r="T29" s="119">
        <f t="shared" si="7"/>
        <v>0.52333478210000006</v>
      </c>
      <c r="U29" s="119">
        <f t="shared" si="8"/>
        <v>0.48019202360000002</v>
      </c>
      <c r="V29" s="119">
        <f t="shared" si="9"/>
        <v>0.51254909247500002</v>
      </c>
      <c r="W29" s="165"/>
      <c r="X29" s="107">
        <v>79</v>
      </c>
      <c r="Y29" s="120">
        <f t="shared" si="10"/>
        <v>0.52333478210000006</v>
      </c>
      <c r="Z29" s="120">
        <f t="shared" si="11"/>
        <v>0.48019202360000002</v>
      </c>
      <c r="AA29" s="120">
        <f t="shared" si="12"/>
        <v>0.51254909247500002</v>
      </c>
    </row>
    <row r="30" spans="1:27" x14ac:dyDescent="0.2">
      <c r="A30" s="107">
        <v>80</v>
      </c>
      <c r="B30" s="107">
        <v>87</v>
      </c>
      <c r="C30" s="3"/>
      <c r="D30" s="107">
        <v>80</v>
      </c>
      <c r="E30" s="263">
        <f t="shared" si="0"/>
        <v>0.62214807439999997</v>
      </c>
      <c r="F30" s="263">
        <f t="shared" si="1"/>
        <v>0.57008359379999995</v>
      </c>
      <c r="G30" s="264">
        <f t="shared" si="2"/>
        <v>0.60913195425</v>
      </c>
      <c r="H30" s="165"/>
      <c r="I30" s="107">
        <v>80</v>
      </c>
      <c r="J30" s="118">
        <f t="shared" si="13"/>
        <v>0.57559780280000006</v>
      </c>
      <c r="K30" s="118">
        <f t="shared" si="14"/>
        <v>0.52742888310000002</v>
      </c>
      <c r="L30" s="118">
        <f t="shared" si="3"/>
        <v>0.56355557287500013</v>
      </c>
      <c r="M30" s="165"/>
      <c r="N30" s="107">
        <v>80</v>
      </c>
      <c r="O30" s="77">
        <f t="shared" si="4"/>
        <v>0.60663131719999996</v>
      </c>
      <c r="P30" s="77">
        <f t="shared" si="5"/>
        <v>0.55586535689999994</v>
      </c>
      <c r="Q30" s="77">
        <f t="shared" si="6"/>
        <v>0.59393982712499993</v>
      </c>
      <c r="R30" s="165"/>
      <c r="S30" s="107">
        <v>80</v>
      </c>
      <c r="T30" s="119">
        <f t="shared" si="7"/>
        <v>0.51944191959999997</v>
      </c>
      <c r="U30" s="119">
        <f t="shared" si="8"/>
        <v>0.47597240669999996</v>
      </c>
      <c r="V30" s="119">
        <f t="shared" si="9"/>
        <v>0.50857454137500002</v>
      </c>
      <c r="W30" s="165"/>
      <c r="X30" s="107">
        <v>80</v>
      </c>
      <c r="Y30" s="120">
        <f t="shared" si="10"/>
        <v>0.51944191959999997</v>
      </c>
      <c r="Z30" s="120">
        <f t="shared" si="11"/>
        <v>0.47597240669999996</v>
      </c>
      <c r="AA30" s="120">
        <f t="shared" si="12"/>
        <v>0.50857454137500002</v>
      </c>
    </row>
    <row r="31" spans="1:27" x14ac:dyDescent="0.2">
      <c r="A31" s="107">
        <v>81</v>
      </c>
      <c r="B31" s="107">
        <v>88</v>
      </c>
      <c r="C31" s="3"/>
      <c r="D31" s="107">
        <v>81</v>
      </c>
      <c r="E31" s="263">
        <f t="shared" si="0"/>
        <v>0.61742959060000002</v>
      </c>
      <c r="F31" s="263">
        <f t="shared" si="1"/>
        <v>0.56497374839999992</v>
      </c>
      <c r="G31" s="264">
        <f t="shared" si="2"/>
        <v>0.60431563005</v>
      </c>
      <c r="H31" s="165"/>
      <c r="I31" s="107">
        <v>81</v>
      </c>
      <c r="J31" s="118">
        <f t="shared" si="13"/>
        <v>0.57123236470000005</v>
      </c>
      <c r="K31" s="118">
        <f t="shared" si="14"/>
        <v>0.52270136580000004</v>
      </c>
      <c r="L31" s="118">
        <f t="shared" si="3"/>
        <v>0.55909961497500005</v>
      </c>
      <c r="M31" s="165"/>
      <c r="N31" s="107">
        <v>81</v>
      </c>
      <c r="O31" s="77">
        <f t="shared" si="4"/>
        <v>0.60203051529999996</v>
      </c>
      <c r="P31" s="77">
        <f t="shared" si="5"/>
        <v>0.5508829542</v>
      </c>
      <c r="Q31" s="77">
        <f t="shared" si="6"/>
        <v>0.58924362502499994</v>
      </c>
      <c r="R31" s="165"/>
      <c r="S31" s="107">
        <v>81</v>
      </c>
      <c r="T31" s="119">
        <f t="shared" si="7"/>
        <v>0.51550237789999998</v>
      </c>
      <c r="U31" s="119">
        <f t="shared" si="8"/>
        <v>0.47170611059999995</v>
      </c>
      <c r="V31" s="119">
        <f t="shared" si="9"/>
        <v>0.50455331107500001</v>
      </c>
      <c r="W31" s="165"/>
      <c r="X31" s="107">
        <v>81</v>
      </c>
      <c r="Y31" s="120">
        <f t="shared" si="10"/>
        <v>0.51550237789999998</v>
      </c>
      <c r="Z31" s="120">
        <f t="shared" si="11"/>
        <v>0.47170611059999995</v>
      </c>
      <c r="AA31" s="120">
        <f t="shared" si="12"/>
        <v>0.50455331107500001</v>
      </c>
    </row>
    <row r="32" spans="1:27" x14ac:dyDescent="0.2">
      <c r="A32" s="107">
        <v>82</v>
      </c>
      <c r="B32" s="107">
        <v>89</v>
      </c>
      <c r="C32" s="3"/>
      <c r="D32" s="107">
        <v>82</v>
      </c>
      <c r="E32" s="263">
        <f t="shared" si="0"/>
        <v>0.61265519800000001</v>
      </c>
      <c r="F32" s="263">
        <f t="shared" si="1"/>
        <v>0.55980799420000005</v>
      </c>
      <c r="G32" s="264">
        <f t="shared" si="2"/>
        <v>0.59944339704999994</v>
      </c>
      <c r="H32" s="165"/>
      <c r="I32" s="107">
        <v>82</v>
      </c>
      <c r="J32" s="118">
        <f t="shared" si="13"/>
        <v>0.56681520100000005</v>
      </c>
      <c r="K32" s="118">
        <f t="shared" si="14"/>
        <v>0.51792212290000006</v>
      </c>
      <c r="L32" s="118">
        <f t="shared" si="3"/>
        <v>0.55459193147500008</v>
      </c>
      <c r="M32" s="165"/>
      <c r="N32" s="107">
        <v>82</v>
      </c>
      <c r="O32" s="77">
        <f t="shared" si="4"/>
        <v>0.59737519900000002</v>
      </c>
      <c r="P32" s="77">
        <f t="shared" si="5"/>
        <v>0.54584603710000001</v>
      </c>
      <c r="Q32" s="77">
        <f t="shared" si="6"/>
        <v>0.58449290852500002</v>
      </c>
      <c r="R32" s="165"/>
      <c r="S32" s="107">
        <v>82</v>
      </c>
      <c r="T32" s="119">
        <f t="shared" si="7"/>
        <v>0.51151615699999997</v>
      </c>
      <c r="U32" s="119">
        <f t="shared" si="8"/>
        <v>0.46739313529999998</v>
      </c>
      <c r="V32" s="119">
        <f t="shared" si="9"/>
        <v>0.50048540157499999</v>
      </c>
      <c r="W32" s="165"/>
      <c r="X32" s="107">
        <v>82</v>
      </c>
      <c r="Y32" s="120">
        <f t="shared" si="10"/>
        <v>0.51151615699999997</v>
      </c>
      <c r="Z32" s="120">
        <f t="shared" si="11"/>
        <v>0.46739313529999998</v>
      </c>
      <c r="AA32" s="120">
        <f t="shared" si="12"/>
        <v>0.50048540157499999</v>
      </c>
    </row>
    <row r="33" spans="1:27" x14ac:dyDescent="0.2">
      <c r="A33" s="107">
        <v>83</v>
      </c>
      <c r="B33" s="107">
        <v>90</v>
      </c>
      <c r="C33" s="3"/>
      <c r="D33" s="107">
        <v>83</v>
      </c>
      <c r="E33" s="263">
        <f t="shared" si="0"/>
        <v>0.60782489660000005</v>
      </c>
      <c r="F33" s="263">
        <f t="shared" si="1"/>
        <v>0.5545863312</v>
      </c>
      <c r="G33" s="264">
        <f t="shared" si="2"/>
        <v>0.59451525525000004</v>
      </c>
      <c r="H33" s="165"/>
      <c r="I33" s="107">
        <v>83</v>
      </c>
      <c r="J33" s="118">
        <f t="shared" si="13"/>
        <v>0.56234631170000005</v>
      </c>
      <c r="K33" s="118">
        <f t="shared" si="14"/>
        <v>0.51309115440000008</v>
      </c>
      <c r="L33" s="118">
        <f t="shared" si="3"/>
        <v>0.550032522375</v>
      </c>
      <c r="M33" s="165"/>
      <c r="N33" s="107">
        <v>83</v>
      </c>
      <c r="O33" s="77">
        <f t="shared" si="4"/>
        <v>0.59266536830000005</v>
      </c>
      <c r="P33" s="77">
        <f t="shared" si="5"/>
        <v>0.54075460559999999</v>
      </c>
      <c r="Q33" s="77">
        <f t="shared" si="6"/>
        <v>0.57968767762500006</v>
      </c>
      <c r="R33" s="165"/>
      <c r="S33" s="107">
        <v>83</v>
      </c>
      <c r="T33" s="119">
        <f t="shared" si="7"/>
        <v>0.50748325690000007</v>
      </c>
      <c r="U33" s="119">
        <f t="shared" si="8"/>
        <v>0.46303348080000001</v>
      </c>
      <c r="V33" s="119">
        <f t="shared" si="9"/>
        <v>0.49637081287500007</v>
      </c>
      <c r="W33" s="165"/>
      <c r="X33" s="107">
        <v>83</v>
      </c>
      <c r="Y33" s="120">
        <f t="shared" si="10"/>
        <v>0.50748325690000007</v>
      </c>
      <c r="Z33" s="120">
        <f t="shared" si="11"/>
        <v>0.46303348080000001</v>
      </c>
      <c r="AA33" s="120">
        <f t="shared" si="12"/>
        <v>0.49637081287500007</v>
      </c>
    </row>
    <row r="34" spans="1:27" x14ac:dyDescent="0.2">
      <c r="A34" s="107">
        <v>84</v>
      </c>
      <c r="B34" s="107">
        <v>91</v>
      </c>
      <c r="C34" s="3"/>
      <c r="D34" s="107">
        <v>84</v>
      </c>
      <c r="E34" s="263">
        <f t="shared" si="0"/>
        <v>0.60293868640000003</v>
      </c>
      <c r="F34" s="263">
        <f t="shared" si="1"/>
        <v>0.54930875940000001</v>
      </c>
      <c r="G34" s="264">
        <f t="shared" si="2"/>
        <v>0.58953120465000008</v>
      </c>
      <c r="H34" s="165"/>
      <c r="I34" s="107">
        <v>84</v>
      </c>
      <c r="J34" s="118">
        <f t="shared" si="13"/>
        <v>0.55782569680000005</v>
      </c>
      <c r="K34" s="118">
        <f t="shared" si="14"/>
        <v>0.50820846030000011</v>
      </c>
      <c r="L34" s="118">
        <f t="shared" si="3"/>
        <v>0.54542138767500004</v>
      </c>
      <c r="M34" s="165"/>
      <c r="N34" s="107">
        <v>84</v>
      </c>
      <c r="O34" s="77">
        <f t="shared" si="4"/>
        <v>0.58790102320000004</v>
      </c>
      <c r="P34" s="77">
        <f t="shared" si="5"/>
        <v>0.53560865970000004</v>
      </c>
      <c r="Q34" s="77">
        <f t="shared" si="6"/>
        <v>0.57482793232500007</v>
      </c>
      <c r="R34" s="165"/>
      <c r="S34" s="107">
        <v>84</v>
      </c>
      <c r="T34" s="119">
        <f t="shared" si="7"/>
        <v>0.50340367760000004</v>
      </c>
      <c r="U34" s="119">
        <f t="shared" si="8"/>
        <v>0.45862714710000002</v>
      </c>
      <c r="V34" s="119">
        <f t="shared" si="9"/>
        <v>0.49220954497500002</v>
      </c>
      <c r="W34" s="165"/>
      <c r="X34" s="107">
        <v>84</v>
      </c>
      <c r="Y34" s="120">
        <f t="shared" si="10"/>
        <v>0.50340367760000004</v>
      </c>
      <c r="Z34" s="120">
        <f t="shared" si="11"/>
        <v>0.45862714710000002</v>
      </c>
      <c r="AA34" s="120">
        <f t="shared" si="12"/>
        <v>0.49220954497500002</v>
      </c>
    </row>
    <row r="35" spans="1:27" x14ac:dyDescent="0.2">
      <c r="A35" s="107">
        <v>85</v>
      </c>
      <c r="B35" s="107">
        <v>92</v>
      </c>
      <c r="C35" s="3"/>
      <c r="D35" s="107">
        <v>85</v>
      </c>
      <c r="E35" s="263">
        <f t="shared" si="0"/>
        <v>0.59799656740000007</v>
      </c>
      <c r="F35" s="263">
        <f t="shared" si="1"/>
        <v>0.54397527879999996</v>
      </c>
      <c r="G35" s="264">
        <f t="shared" si="2"/>
        <v>0.58449124525000007</v>
      </c>
      <c r="H35" s="165"/>
      <c r="I35" s="107">
        <v>85</v>
      </c>
      <c r="J35" s="118">
        <f t="shared" si="13"/>
        <v>0.55325335630000005</v>
      </c>
      <c r="K35" s="118">
        <f t="shared" si="14"/>
        <v>0.50327404059999992</v>
      </c>
      <c r="L35" s="118">
        <f t="shared" si="3"/>
        <v>0.54075852737500008</v>
      </c>
      <c r="M35" s="165"/>
      <c r="N35" s="107">
        <v>85</v>
      </c>
      <c r="O35" s="77">
        <f t="shared" si="4"/>
        <v>0.58308216369999999</v>
      </c>
      <c r="P35" s="77">
        <f t="shared" si="5"/>
        <v>0.53040819939999995</v>
      </c>
      <c r="Q35" s="77">
        <f t="shared" si="6"/>
        <v>0.56991367262500003</v>
      </c>
      <c r="R35" s="165"/>
      <c r="S35" s="107">
        <v>85</v>
      </c>
      <c r="T35" s="119">
        <f t="shared" si="7"/>
        <v>0.49927741910000001</v>
      </c>
      <c r="U35" s="119">
        <f t="shared" si="8"/>
        <v>0.45417413419999991</v>
      </c>
      <c r="V35" s="119">
        <f t="shared" si="9"/>
        <v>0.48800159787499997</v>
      </c>
      <c r="W35" s="165"/>
      <c r="X35" s="107">
        <v>85</v>
      </c>
      <c r="Y35" s="120">
        <f t="shared" si="10"/>
        <v>0.49927741910000001</v>
      </c>
      <c r="Z35" s="120">
        <f t="shared" si="11"/>
        <v>0.45417413419999991</v>
      </c>
      <c r="AA35" s="120">
        <f t="shared" si="12"/>
        <v>0.48800159787499997</v>
      </c>
    </row>
    <row r="36" spans="1:27" x14ac:dyDescent="0.2">
      <c r="A36" s="107">
        <v>86</v>
      </c>
      <c r="B36" s="107">
        <v>93</v>
      </c>
      <c r="C36" s="3"/>
      <c r="D36" s="107">
        <v>86</v>
      </c>
      <c r="E36" s="263">
        <f t="shared" si="0"/>
        <v>0.59299853960000004</v>
      </c>
      <c r="F36" s="263">
        <f t="shared" si="1"/>
        <v>0.53858588939999996</v>
      </c>
      <c r="G36" s="264">
        <f t="shared" si="2"/>
        <v>0.57939537704999999</v>
      </c>
      <c r="H36" s="165"/>
      <c r="I36" s="107">
        <v>86</v>
      </c>
      <c r="J36" s="118">
        <f t="shared" si="13"/>
        <v>0.54862929020000006</v>
      </c>
      <c r="K36" s="118">
        <f t="shared" si="14"/>
        <v>0.49828789530000001</v>
      </c>
      <c r="L36" s="118">
        <f t="shared" si="3"/>
        <v>0.53604394147500001</v>
      </c>
      <c r="M36" s="165"/>
      <c r="N36" s="107">
        <v>86</v>
      </c>
      <c r="O36" s="77">
        <f t="shared" si="4"/>
        <v>0.57820878980000001</v>
      </c>
      <c r="P36" s="77">
        <f t="shared" si="5"/>
        <v>0.52515322470000003</v>
      </c>
      <c r="Q36" s="77">
        <f t="shared" si="6"/>
        <v>0.56494489852499996</v>
      </c>
      <c r="R36" s="165"/>
      <c r="S36" s="107">
        <v>86</v>
      </c>
      <c r="T36" s="119">
        <f t="shared" si="7"/>
        <v>0.49510448140000002</v>
      </c>
      <c r="U36" s="119">
        <f t="shared" si="8"/>
        <v>0.44967444209999996</v>
      </c>
      <c r="V36" s="119">
        <f t="shared" si="9"/>
        <v>0.48374697157500002</v>
      </c>
      <c r="W36" s="165"/>
      <c r="X36" s="107">
        <v>86</v>
      </c>
      <c r="Y36" s="120">
        <f t="shared" si="10"/>
        <v>0.49510448140000002</v>
      </c>
      <c r="Z36" s="120">
        <f t="shared" si="11"/>
        <v>0.44967444209999996</v>
      </c>
      <c r="AA36" s="120">
        <f t="shared" si="12"/>
        <v>0.48374697157500002</v>
      </c>
    </row>
    <row r="37" spans="1:27" x14ac:dyDescent="0.2">
      <c r="A37" s="107">
        <v>87</v>
      </c>
      <c r="B37" s="107">
        <v>94</v>
      </c>
      <c r="C37" s="3"/>
      <c r="D37" s="107">
        <v>87</v>
      </c>
      <c r="E37" s="263">
        <f t="shared" si="0"/>
        <v>0.58794460300000007</v>
      </c>
      <c r="F37" s="263">
        <f t="shared" si="1"/>
        <v>0.53314059120000012</v>
      </c>
      <c r="G37" s="264">
        <f t="shared" si="2"/>
        <v>0.57424360005000008</v>
      </c>
      <c r="H37" s="165"/>
      <c r="I37" s="107">
        <v>87</v>
      </c>
      <c r="J37" s="118">
        <f t="shared" si="13"/>
        <v>0.54395349850000019</v>
      </c>
      <c r="K37" s="118">
        <f t="shared" si="14"/>
        <v>0.49325002440000015</v>
      </c>
      <c r="L37" s="118">
        <f t="shared" si="3"/>
        <v>0.53127762997500017</v>
      </c>
      <c r="M37" s="165"/>
      <c r="N37" s="107">
        <v>87</v>
      </c>
      <c r="O37" s="77">
        <f t="shared" si="4"/>
        <v>0.57328090150000011</v>
      </c>
      <c r="P37" s="77">
        <f t="shared" si="5"/>
        <v>0.51984373560000008</v>
      </c>
      <c r="Q37" s="77">
        <f t="shared" si="6"/>
        <v>0.55992161002500018</v>
      </c>
      <c r="R37" s="165"/>
      <c r="S37" s="107">
        <v>87</v>
      </c>
      <c r="T37" s="119">
        <f t="shared" si="7"/>
        <v>0.49088486450000007</v>
      </c>
      <c r="U37" s="119">
        <f t="shared" si="8"/>
        <v>0.44512807080000011</v>
      </c>
      <c r="V37" s="119">
        <f t="shared" si="9"/>
        <v>0.47944566607500005</v>
      </c>
      <c r="W37" s="165"/>
      <c r="X37" s="107">
        <v>87</v>
      </c>
      <c r="Y37" s="120">
        <f t="shared" si="10"/>
        <v>0.49088486450000007</v>
      </c>
      <c r="Z37" s="120">
        <f t="shared" si="11"/>
        <v>0.44512807080000011</v>
      </c>
      <c r="AA37" s="120">
        <f t="shared" si="12"/>
        <v>0.47944566607500005</v>
      </c>
    </row>
    <row r="38" spans="1:27" x14ac:dyDescent="0.2">
      <c r="A38" s="107">
        <v>88</v>
      </c>
      <c r="B38" s="107">
        <v>95</v>
      </c>
      <c r="C38" s="3"/>
      <c r="D38" s="107">
        <v>88</v>
      </c>
      <c r="E38" s="263">
        <f t="shared" si="0"/>
        <v>0.58283475760000003</v>
      </c>
      <c r="F38" s="263">
        <f t="shared" si="1"/>
        <v>0.52763938420000001</v>
      </c>
      <c r="G38" s="264">
        <f t="shared" si="2"/>
        <v>0.56903591425</v>
      </c>
      <c r="H38" s="165"/>
      <c r="I38" s="107">
        <v>88</v>
      </c>
      <c r="J38" s="118">
        <f t="shared" si="13"/>
        <v>0.53922598119999998</v>
      </c>
      <c r="K38" s="118">
        <f t="shared" si="14"/>
        <v>0.48816042790000003</v>
      </c>
      <c r="L38" s="118">
        <f t="shared" si="3"/>
        <v>0.52645959287499999</v>
      </c>
      <c r="M38" s="165"/>
      <c r="N38" s="107">
        <v>88</v>
      </c>
      <c r="O38" s="77">
        <f t="shared" si="4"/>
        <v>0.56829849879999994</v>
      </c>
      <c r="P38" s="77">
        <f t="shared" si="5"/>
        <v>0.51447973209999998</v>
      </c>
      <c r="Q38" s="77">
        <f t="shared" si="6"/>
        <v>0.55484380712499992</v>
      </c>
      <c r="R38" s="165"/>
      <c r="S38" s="107">
        <v>88</v>
      </c>
      <c r="T38" s="119">
        <f t="shared" si="7"/>
        <v>0.48661856839999995</v>
      </c>
      <c r="U38" s="119">
        <f t="shared" si="8"/>
        <v>0.44053502029999997</v>
      </c>
      <c r="V38" s="119">
        <f t="shared" si="9"/>
        <v>0.47509768137499997</v>
      </c>
      <c r="W38" s="165"/>
      <c r="X38" s="107">
        <v>88</v>
      </c>
      <c r="Y38" s="120">
        <f t="shared" si="10"/>
        <v>0.48661856839999995</v>
      </c>
      <c r="Z38" s="120">
        <f t="shared" si="11"/>
        <v>0.44053502029999997</v>
      </c>
      <c r="AA38" s="120">
        <f t="shared" si="12"/>
        <v>0.47509768137499997</v>
      </c>
    </row>
    <row r="39" spans="1:27" x14ac:dyDescent="0.2">
      <c r="A39" s="107">
        <v>89</v>
      </c>
      <c r="B39" s="107">
        <v>96</v>
      </c>
      <c r="C39" s="3"/>
      <c r="D39" s="107">
        <v>89</v>
      </c>
      <c r="E39" s="263">
        <f t="shared" si="0"/>
        <v>0.57766900340000005</v>
      </c>
      <c r="F39" s="263">
        <f t="shared" si="1"/>
        <v>0.52208226839999994</v>
      </c>
      <c r="G39" s="264">
        <f t="shared" si="2"/>
        <v>0.56377231964999996</v>
      </c>
      <c r="H39" s="165"/>
      <c r="I39" s="107">
        <v>89</v>
      </c>
      <c r="J39" s="118">
        <f t="shared" si="13"/>
        <v>0.53444673830000011</v>
      </c>
      <c r="K39" s="118">
        <f t="shared" si="14"/>
        <v>0.48301910580000001</v>
      </c>
      <c r="L39" s="118">
        <f t="shared" si="3"/>
        <v>0.52158983017500005</v>
      </c>
      <c r="M39" s="165"/>
      <c r="N39" s="107">
        <v>89</v>
      </c>
      <c r="O39" s="77">
        <f t="shared" si="4"/>
        <v>0.56326158170000007</v>
      </c>
      <c r="P39" s="77">
        <f t="shared" si="5"/>
        <v>0.50906121419999995</v>
      </c>
      <c r="Q39" s="77">
        <f t="shared" si="6"/>
        <v>0.54971148982500007</v>
      </c>
      <c r="R39" s="165"/>
      <c r="S39" s="107">
        <v>89</v>
      </c>
      <c r="T39" s="119">
        <f t="shared" si="7"/>
        <v>0.48230559309999999</v>
      </c>
      <c r="U39" s="119">
        <f t="shared" si="8"/>
        <v>0.43589529059999998</v>
      </c>
      <c r="V39" s="119">
        <f t="shared" si="9"/>
        <v>0.47070301747499999</v>
      </c>
      <c r="W39" s="165"/>
      <c r="X39" s="107">
        <v>89</v>
      </c>
      <c r="Y39" s="120">
        <f t="shared" si="10"/>
        <v>0.48230559309999999</v>
      </c>
      <c r="Z39" s="120">
        <f t="shared" si="11"/>
        <v>0.43589529059999998</v>
      </c>
      <c r="AA39" s="120">
        <f t="shared" si="12"/>
        <v>0.47070301747499999</v>
      </c>
    </row>
    <row r="40" spans="1:27" x14ac:dyDescent="0.2">
      <c r="A40" s="107">
        <v>90</v>
      </c>
      <c r="B40" s="107">
        <v>97</v>
      </c>
      <c r="C40" s="3"/>
      <c r="D40" s="107">
        <v>90</v>
      </c>
      <c r="E40" s="263">
        <f t="shared" si="0"/>
        <v>0.5724473404</v>
      </c>
      <c r="F40" s="263">
        <f t="shared" si="1"/>
        <v>0.51646924380000003</v>
      </c>
      <c r="G40" s="264">
        <f t="shared" si="2"/>
        <v>0.55845281624999998</v>
      </c>
      <c r="H40" s="165"/>
      <c r="I40" s="107">
        <v>90</v>
      </c>
      <c r="J40" s="118">
        <f t="shared" si="13"/>
        <v>0.52961576980000002</v>
      </c>
      <c r="K40" s="118">
        <f t="shared" si="14"/>
        <v>0.47782605810000006</v>
      </c>
      <c r="L40" s="118">
        <f t="shared" si="3"/>
        <v>0.5166683418750001</v>
      </c>
      <c r="M40" s="165"/>
      <c r="N40" s="107">
        <v>90</v>
      </c>
      <c r="O40" s="77">
        <f t="shared" si="4"/>
        <v>0.55817015019999994</v>
      </c>
      <c r="P40" s="77">
        <f t="shared" si="5"/>
        <v>0.5035881819000001</v>
      </c>
      <c r="Q40" s="77">
        <f t="shared" si="6"/>
        <v>0.54452465812499995</v>
      </c>
      <c r="R40" s="165"/>
      <c r="S40" s="107">
        <v>90</v>
      </c>
      <c r="T40" s="119">
        <f t="shared" si="7"/>
        <v>0.47794593859999995</v>
      </c>
      <c r="U40" s="119">
        <f t="shared" si="8"/>
        <v>0.43120888170000005</v>
      </c>
      <c r="V40" s="119">
        <f t="shared" si="9"/>
        <v>0.46626167437499999</v>
      </c>
      <c r="W40" s="165"/>
      <c r="X40" s="107">
        <v>90</v>
      </c>
      <c r="Y40" s="120">
        <f t="shared" si="10"/>
        <v>0.47794593859999995</v>
      </c>
      <c r="Z40" s="120">
        <f t="shared" si="11"/>
        <v>0.43120888170000005</v>
      </c>
      <c r="AA40" s="120">
        <f t="shared" si="12"/>
        <v>0.46626167437499999</v>
      </c>
    </row>
    <row r="41" spans="1:27" x14ac:dyDescent="0.2">
      <c r="A41" s="107">
        <v>91</v>
      </c>
      <c r="B41" s="107">
        <v>98</v>
      </c>
      <c r="C41" s="3"/>
      <c r="D41" s="107">
        <v>91</v>
      </c>
      <c r="E41" s="263">
        <f t="shared" si="0"/>
        <v>0.56716976860000001</v>
      </c>
      <c r="F41" s="263">
        <f t="shared" si="1"/>
        <v>0.51080031040000007</v>
      </c>
      <c r="G41" s="264">
        <f t="shared" si="2"/>
        <v>0.55307740405000005</v>
      </c>
      <c r="H41" s="165"/>
      <c r="I41" s="107">
        <v>91</v>
      </c>
      <c r="J41" s="118">
        <f t="shared" si="13"/>
        <v>0.52473307570000005</v>
      </c>
      <c r="K41" s="118">
        <f t="shared" si="14"/>
        <v>0.47258128480000017</v>
      </c>
      <c r="L41" s="118">
        <f t="shared" si="3"/>
        <v>0.51169512797500016</v>
      </c>
      <c r="M41" s="165"/>
      <c r="N41" s="107">
        <v>91</v>
      </c>
      <c r="O41" s="77">
        <f t="shared" si="4"/>
        <v>0.5530242043000001</v>
      </c>
      <c r="P41" s="77">
        <f t="shared" si="5"/>
        <v>0.4980606352000001</v>
      </c>
      <c r="Q41" s="77">
        <f t="shared" si="6"/>
        <v>0.53928331202500002</v>
      </c>
      <c r="R41" s="165"/>
      <c r="S41" s="107">
        <v>91</v>
      </c>
      <c r="T41" s="119">
        <f t="shared" si="7"/>
        <v>0.47353960490000002</v>
      </c>
      <c r="U41" s="119">
        <f t="shared" si="8"/>
        <v>0.4264757936000001</v>
      </c>
      <c r="V41" s="119">
        <f t="shared" si="9"/>
        <v>0.46177365207500004</v>
      </c>
      <c r="W41" s="165"/>
      <c r="X41" s="107">
        <v>91</v>
      </c>
      <c r="Y41" s="120">
        <f t="shared" si="10"/>
        <v>0.47353960490000002</v>
      </c>
      <c r="Z41" s="120">
        <f t="shared" si="11"/>
        <v>0.4264757936000001</v>
      </c>
      <c r="AA41" s="120">
        <f t="shared" si="12"/>
        <v>0.46177365207500004</v>
      </c>
    </row>
    <row r="42" spans="1:27" x14ac:dyDescent="0.2">
      <c r="A42" s="107">
        <v>92</v>
      </c>
      <c r="B42" s="107">
        <v>99</v>
      </c>
      <c r="C42" s="3"/>
      <c r="D42" s="107">
        <v>92</v>
      </c>
      <c r="E42" s="263">
        <f t="shared" si="0"/>
        <v>0.56183628800000007</v>
      </c>
      <c r="F42" s="263">
        <f t="shared" si="1"/>
        <v>0.50507546820000004</v>
      </c>
      <c r="G42" s="264">
        <f t="shared" si="2"/>
        <v>0.54764608305000007</v>
      </c>
      <c r="H42" s="165"/>
      <c r="I42" s="107">
        <v>92</v>
      </c>
      <c r="J42" s="118">
        <f t="shared" si="13"/>
        <v>0.51979865600000008</v>
      </c>
      <c r="K42" s="118">
        <f t="shared" si="14"/>
        <v>0.46728478590000011</v>
      </c>
      <c r="L42" s="118">
        <f t="shared" si="3"/>
        <v>0.50667018847500012</v>
      </c>
      <c r="M42" s="165"/>
      <c r="N42" s="107">
        <v>92</v>
      </c>
      <c r="O42" s="77">
        <f t="shared" si="4"/>
        <v>0.547823744</v>
      </c>
      <c r="P42" s="77">
        <f t="shared" si="5"/>
        <v>0.49247857410000007</v>
      </c>
      <c r="Q42" s="77">
        <f t="shared" si="6"/>
        <v>0.53398745152500005</v>
      </c>
      <c r="R42" s="165"/>
      <c r="S42" s="107">
        <v>92</v>
      </c>
      <c r="T42" s="119">
        <f t="shared" si="7"/>
        <v>0.46908659200000002</v>
      </c>
      <c r="U42" s="119">
        <f t="shared" si="8"/>
        <v>0.42169602630000003</v>
      </c>
      <c r="V42" s="119">
        <f t="shared" si="9"/>
        <v>0.45723895057500002</v>
      </c>
      <c r="W42" s="165"/>
      <c r="X42" s="107">
        <v>92</v>
      </c>
      <c r="Y42" s="120">
        <f t="shared" si="10"/>
        <v>0.46908659200000002</v>
      </c>
      <c r="Z42" s="120">
        <f t="shared" si="11"/>
        <v>0.42169602630000003</v>
      </c>
      <c r="AA42" s="120">
        <f t="shared" si="12"/>
        <v>0.45723895057500002</v>
      </c>
    </row>
    <row r="43" spans="1:27" x14ac:dyDescent="0.2">
      <c r="A43" s="107">
        <v>93</v>
      </c>
      <c r="B43" s="107">
        <v>100</v>
      </c>
      <c r="C43" s="3"/>
      <c r="D43" s="107">
        <v>93</v>
      </c>
      <c r="E43" s="263">
        <f t="shared" si="0"/>
        <v>0.55644689860000007</v>
      </c>
      <c r="F43" s="263">
        <f t="shared" si="1"/>
        <v>0.49929471720000013</v>
      </c>
      <c r="G43" s="264">
        <f t="shared" si="2"/>
        <v>0.54215885325000013</v>
      </c>
      <c r="H43" s="165"/>
      <c r="I43" s="107">
        <v>93</v>
      </c>
      <c r="J43" s="118">
        <f t="shared" si="13"/>
        <v>0.51481251070000011</v>
      </c>
      <c r="K43" s="118">
        <f t="shared" si="14"/>
        <v>0.46193656140000011</v>
      </c>
      <c r="L43" s="118">
        <f t="shared" si="3"/>
        <v>0.50159352337500007</v>
      </c>
      <c r="M43" s="165"/>
      <c r="N43" s="107">
        <v>93</v>
      </c>
      <c r="O43" s="77">
        <f t="shared" si="4"/>
        <v>0.54256876930000009</v>
      </c>
      <c r="P43" s="77">
        <f t="shared" si="5"/>
        <v>0.4868419986000001</v>
      </c>
      <c r="Q43" s="77">
        <f t="shared" si="6"/>
        <v>0.52863707662500015</v>
      </c>
      <c r="R43" s="165"/>
      <c r="S43" s="107">
        <v>93</v>
      </c>
      <c r="T43" s="119">
        <f t="shared" si="7"/>
        <v>0.46458689990000007</v>
      </c>
      <c r="U43" s="119">
        <f t="shared" si="8"/>
        <v>0.41686957980000006</v>
      </c>
      <c r="V43" s="119">
        <f t="shared" si="9"/>
        <v>0.45265756987500005</v>
      </c>
      <c r="W43" s="165"/>
      <c r="X43" s="107">
        <v>93</v>
      </c>
      <c r="Y43" s="120">
        <f t="shared" si="10"/>
        <v>0.46458689990000007</v>
      </c>
      <c r="Z43" s="120">
        <f t="shared" si="11"/>
        <v>0.41686957980000006</v>
      </c>
      <c r="AA43" s="120">
        <f t="shared" si="12"/>
        <v>0.45265756987500005</v>
      </c>
    </row>
    <row r="44" spans="1:27" x14ac:dyDescent="0.2">
      <c r="A44" s="107">
        <v>94</v>
      </c>
      <c r="B44" s="107">
        <v>101</v>
      </c>
      <c r="C44" s="3"/>
      <c r="D44" s="107">
        <v>94</v>
      </c>
      <c r="E44" s="263">
        <f t="shared" si="0"/>
        <v>0.55100160040000001</v>
      </c>
      <c r="F44" s="263">
        <f t="shared" si="1"/>
        <v>0.49345805740000004</v>
      </c>
      <c r="G44" s="264">
        <f t="shared" si="2"/>
        <v>0.53661571465000002</v>
      </c>
      <c r="H44" s="165"/>
      <c r="I44" s="107">
        <v>94</v>
      </c>
      <c r="J44" s="118">
        <f t="shared" si="13"/>
        <v>0.50977463980000004</v>
      </c>
      <c r="K44" s="118">
        <f t="shared" si="14"/>
        <v>0.45653661130000006</v>
      </c>
      <c r="L44" s="118">
        <f t="shared" si="3"/>
        <v>0.49646513267500003</v>
      </c>
      <c r="M44" s="165"/>
      <c r="N44" s="107">
        <v>94</v>
      </c>
      <c r="O44" s="77">
        <f t="shared" si="4"/>
        <v>0.53725928020000002</v>
      </c>
      <c r="P44" s="77">
        <f t="shared" si="5"/>
        <v>0.48115090869999999</v>
      </c>
      <c r="Q44" s="77">
        <f t="shared" si="6"/>
        <v>0.52323218732499999</v>
      </c>
      <c r="R44" s="165"/>
      <c r="S44" s="107">
        <v>94</v>
      </c>
      <c r="T44" s="119">
        <f t="shared" si="7"/>
        <v>0.46004052860000005</v>
      </c>
      <c r="U44" s="119">
        <f t="shared" si="8"/>
        <v>0.41199645410000002</v>
      </c>
      <c r="V44" s="119">
        <f t="shared" si="9"/>
        <v>0.44802950997500007</v>
      </c>
      <c r="W44" s="165"/>
      <c r="X44" s="107">
        <v>94</v>
      </c>
      <c r="Y44" s="120">
        <f t="shared" si="10"/>
        <v>0.46004052860000005</v>
      </c>
      <c r="Z44" s="120">
        <f t="shared" si="11"/>
        <v>0.41199645410000002</v>
      </c>
      <c r="AA44" s="120">
        <f t="shared" si="12"/>
        <v>0.44802950997500007</v>
      </c>
    </row>
    <row r="45" spans="1:27" x14ac:dyDescent="0.2">
      <c r="A45" s="107">
        <v>95</v>
      </c>
      <c r="B45" s="107">
        <v>102</v>
      </c>
      <c r="C45" s="3"/>
      <c r="D45" s="107">
        <v>95</v>
      </c>
      <c r="E45" s="263">
        <f t="shared" si="0"/>
        <v>0.54550039340000012</v>
      </c>
      <c r="F45" s="263">
        <f t="shared" si="1"/>
        <v>0.4875654888</v>
      </c>
      <c r="G45" s="264">
        <f t="shared" si="2"/>
        <v>0.53101666725000007</v>
      </c>
      <c r="H45" s="165"/>
      <c r="I45" s="107">
        <v>95</v>
      </c>
      <c r="J45" s="118">
        <f t="shared" si="13"/>
        <v>0.50468504330000008</v>
      </c>
      <c r="K45" s="118">
        <f t="shared" si="14"/>
        <v>0.45108493560000001</v>
      </c>
      <c r="L45" s="118">
        <f t="shared" si="3"/>
        <v>0.49128501637500005</v>
      </c>
      <c r="M45" s="165"/>
      <c r="N45" s="107">
        <v>95</v>
      </c>
      <c r="O45" s="77">
        <f t="shared" si="4"/>
        <v>0.53189527670000003</v>
      </c>
      <c r="P45" s="77">
        <f t="shared" si="5"/>
        <v>0.47540530440000001</v>
      </c>
      <c r="Q45" s="77">
        <f t="shared" si="6"/>
        <v>0.51777278362500001</v>
      </c>
      <c r="R45" s="165"/>
      <c r="S45" s="107">
        <v>95</v>
      </c>
      <c r="T45" s="119">
        <f t="shared" si="7"/>
        <v>0.45544747810000008</v>
      </c>
      <c r="U45" s="119">
        <f t="shared" si="8"/>
        <v>0.40707664919999997</v>
      </c>
      <c r="V45" s="119">
        <f t="shared" si="9"/>
        <v>0.44335477087500008</v>
      </c>
      <c r="W45" s="165"/>
      <c r="X45" s="107">
        <v>95</v>
      </c>
      <c r="Y45" s="120">
        <f t="shared" si="10"/>
        <v>0.45544747810000008</v>
      </c>
      <c r="Z45" s="120">
        <f t="shared" si="11"/>
        <v>0.40707664919999997</v>
      </c>
      <c r="AA45" s="120">
        <f t="shared" si="12"/>
        <v>0.44335477087500008</v>
      </c>
    </row>
    <row r="46" spans="1:27" x14ac:dyDescent="0.2">
      <c r="A46" s="107">
        <v>96</v>
      </c>
      <c r="B46" s="107">
        <v>103</v>
      </c>
      <c r="C46" s="3"/>
      <c r="D46" s="107">
        <v>96</v>
      </c>
      <c r="E46" s="263">
        <f t="shared" si="0"/>
        <v>0.53994327760000005</v>
      </c>
      <c r="F46" s="263">
        <f t="shared" si="1"/>
        <v>0.48161701140000007</v>
      </c>
      <c r="G46" s="264">
        <f t="shared" si="2"/>
        <v>0.52536171105000007</v>
      </c>
      <c r="H46" s="165"/>
      <c r="I46" s="107">
        <v>96</v>
      </c>
      <c r="J46" s="118">
        <f t="shared" si="13"/>
        <v>0.49954372120000012</v>
      </c>
      <c r="K46" s="118">
        <f t="shared" si="14"/>
        <v>0.44558153430000008</v>
      </c>
      <c r="L46" s="118">
        <f t="shared" si="3"/>
        <v>0.48605317447500007</v>
      </c>
      <c r="M46" s="165"/>
      <c r="N46" s="107">
        <v>96</v>
      </c>
      <c r="O46" s="77">
        <f t="shared" si="4"/>
        <v>0.52647675880000011</v>
      </c>
      <c r="P46" s="77">
        <f t="shared" si="5"/>
        <v>0.46960518570000004</v>
      </c>
      <c r="Q46" s="77">
        <f t="shared" si="6"/>
        <v>0.51225886552500011</v>
      </c>
      <c r="R46" s="165"/>
      <c r="S46" s="107">
        <v>96</v>
      </c>
      <c r="T46" s="119">
        <f t="shared" si="7"/>
        <v>0.45080774840000004</v>
      </c>
      <c r="U46" s="119">
        <f t="shared" si="8"/>
        <v>0.40211016510000003</v>
      </c>
      <c r="V46" s="119">
        <f t="shared" si="9"/>
        <v>0.43863335257500008</v>
      </c>
      <c r="W46" s="165"/>
      <c r="X46" s="107">
        <v>96</v>
      </c>
      <c r="Y46" s="120">
        <f t="shared" si="10"/>
        <v>0.45080774840000004</v>
      </c>
      <c r="Z46" s="120">
        <f t="shared" si="11"/>
        <v>0.40211016510000003</v>
      </c>
      <c r="AA46" s="120">
        <f t="shared" si="12"/>
        <v>0.43863335257500008</v>
      </c>
    </row>
    <row r="47" spans="1:27" x14ac:dyDescent="0.2">
      <c r="A47" s="107">
        <v>97</v>
      </c>
      <c r="B47" s="107">
        <v>104</v>
      </c>
      <c r="C47" s="3"/>
      <c r="D47" s="107">
        <v>97</v>
      </c>
      <c r="E47" s="263">
        <f t="shared" si="0"/>
        <v>0.53433025300000003</v>
      </c>
      <c r="F47" s="263">
        <f t="shared" si="1"/>
        <v>0.47561262520000003</v>
      </c>
      <c r="G47" s="264">
        <f t="shared" si="2"/>
        <v>0.51965084605</v>
      </c>
      <c r="H47" s="165"/>
      <c r="I47" s="107">
        <v>97</v>
      </c>
      <c r="J47" s="118">
        <f t="shared" si="13"/>
        <v>0.4943506735</v>
      </c>
      <c r="K47" s="118">
        <f t="shared" si="14"/>
        <v>0.44002640740000004</v>
      </c>
      <c r="L47" s="118">
        <f t="shared" si="3"/>
        <v>0.48076960697499999</v>
      </c>
      <c r="M47" s="165"/>
      <c r="N47" s="107">
        <v>97</v>
      </c>
      <c r="O47" s="77">
        <f t="shared" si="4"/>
        <v>0.52100372649999993</v>
      </c>
      <c r="P47" s="77">
        <f t="shared" si="5"/>
        <v>0.46375055260000003</v>
      </c>
      <c r="Q47" s="77">
        <f t="shared" si="6"/>
        <v>0.50669043302499994</v>
      </c>
      <c r="R47" s="165"/>
      <c r="S47" s="107">
        <v>97</v>
      </c>
      <c r="T47" s="119">
        <f t="shared" si="7"/>
        <v>0.44612133949999999</v>
      </c>
      <c r="U47" s="119">
        <f t="shared" si="8"/>
        <v>0.39709700180000002</v>
      </c>
      <c r="V47" s="119">
        <f t="shared" si="9"/>
        <v>0.43386525507500001</v>
      </c>
      <c r="W47" s="165"/>
      <c r="X47" s="107">
        <v>97</v>
      </c>
      <c r="Y47" s="120">
        <f t="shared" si="10"/>
        <v>0.44612133949999999</v>
      </c>
      <c r="Z47" s="120">
        <f t="shared" si="11"/>
        <v>0.39709700180000002</v>
      </c>
      <c r="AA47" s="120">
        <f t="shared" si="12"/>
        <v>0.43386525507500001</v>
      </c>
    </row>
    <row r="48" spans="1:27" x14ac:dyDescent="0.2">
      <c r="A48" s="107">
        <v>98</v>
      </c>
      <c r="B48" s="107">
        <v>105</v>
      </c>
      <c r="C48" s="3"/>
      <c r="D48" s="107">
        <v>98</v>
      </c>
      <c r="E48" s="263">
        <f t="shared" si="0"/>
        <v>0.52866131960000007</v>
      </c>
      <c r="F48" s="263">
        <f t="shared" si="1"/>
        <v>0.46955233020000003</v>
      </c>
      <c r="G48" s="264">
        <f t="shared" si="2"/>
        <v>0.5138840722500001</v>
      </c>
      <c r="H48" s="165"/>
      <c r="I48" s="107">
        <v>98</v>
      </c>
      <c r="J48" s="118">
        <f t="shared" si="13"/>
        <v>0.48910590020000005</v>
      </c>
      <c r="K48" s="118">
        <f t="shared" si="14"/>
        <v>0.43441955490000006</v>
      </c>
      <c r="L48" s="118">
        <f t="shared" si="3"/>
        <v>0.47543431387500007</v>
      </c>
      <c r="M48" s="165"/>
      <c r="N48" s="107">
        <v>98</v>
      </c>
      <c r="O48" s="77">
        <f t="shared" si="4"/>
        <v>0.51547617980000005</v>
      </c>
      <c r="P48" s="77">
        <f t="shared" si="5"/>
        <v>0.45784140510000004</v>
      </c>
      <c r="Q48" s="77">
        <f t="shared" si="6"/>
        <v>0.50106748612500007</v>
      </c>
      <c r="R48" s="165"/>
      <c r="S48" s="107">
        <v>98</v>
      </c>
      <c r="T48" s="119">
        <f t="shared" si="7"/>
        <v>0.44138825140000004</v>
      </c>
      <c r="U48" s="119">
        <f t="shared" si="8"/>
        <v>0.39203715930000005</v>
      </c>
      <c r="V48" s="119">
        <f t="shared" si="9"/>
        <v>0.42905047837500004</v>
      </c>
      <c r="W48" s="165"/>
      <c r="X48" s="107">
        <v>98</v>
      </c>
      <c r="Y48" s="120">
        <f t="shared" si="10"/>
        <v>0.44138825140000004</v>
      </c>
      <c r="Z48" s="120">
        <f t="shared" si="11"/>
        <v>0.39203715930000005</v>
      </c>
      <c r="AA48" s="120">
        <f t="shared" si="12"/>
        <v>0.42905047837500004</v>
      </c>
    </row>
    <row r="49" spans="1:27" x14ac:dyDescent="0.2">
      <c r="A49" s="107">
        <v>99</v>
      </c>
      <c r="B49" s="107">
        <v>106</v>
      </c>
      <c r="C49" s="3"/>
      <c r="D49" s="107">
        <v>99</v>
      </c>
      <c r="E49" s="263">
        <f t="shared" si="0"/>
        <v>0.52293647740000004</v>
      </c>
      <c r="F49" s="263">
        <f t="shared" si="1"/>
        <v>0.46343612640000004</v>
      </c>
      <c r="G49" s="264">
        <f t="shared" si="2"/>
        <v>0.50806138965000003</v>
      </c>
      <c r="H49" s="165"/>
      <c r="I49" s="107">
        <v>99</v>
      </c>
      <c r="J49" s="118">
        <f t="shared" si="13"/>
        <v>0.48380940130000005</v>
      </c>
      <c r="K49" s="118">
        <f t="shared" si="14"/>
        <v>0.42876097680000008</v>
      </c>
      <c r="L49" s="118">
        <f t="shared" si="3"/>
        <v>0.47004729517500005</v>
      </c>
      <c r="M49" s="165"/>
      <c r="N49" s="107">
        <v>99</v>
      </c>
      <c r="O49" s="77">
        <f t="shared" si="4"/>
        <v>0.50989411870000001</v>
      </c>
      <c r="P49" s="77">
        <f t="shared" si="5"/>
        <v>0.45187774320000007</v>
      </c>
      <c r="Q49" s="77">
        <f t="shared" si="6"/>
        <v>0.495390024825</v>
      </c>
      <c r="R49" s="165"/>
      <c r="S49" s="107">
        <v>99</v>
      </c>
      <c r="T49" s="119">
        <f t="shared" si="7"/>
        <v>0.43660848409999997</v>
      </c>
      <c r="U49" s="119">
        <f t="shared" si="8"/>
        <v>0.38693063760000002</v>
      </c>
      <c r="V49" s="119">
        <f t="shared" si="9"/>
        <v>0.42418902247500001</v>
      </c>
      <c r="W49" s="165"/>
      <c r="X49" s="107">
        <v>99</v>
      </c>
      <c r="Y49" s="120">
        <f t="shared" si="10"/>
        <v>0.43660848409999997</v>
      </c>
      <c r="Z49" s="120">
        <f t="shared" si="11"/>
        <v>0.38693063760000002</v>
      </c>
      <c r="AA49" s="120">
        <f t="shared" si="12"/>
        <v>0.42418902247500001</v>
      </c>
    </row>
    <row r="50" spans="1:27" x14ac:dyDescent="0.2">
      <c r="A50" s="107">
        <v>100</v>
      </c>
      <c r="B50" s="107">
        <v>107</v>
      </c>
      <c r="C50" s="3"/>
      <c r="D50" s="107">
        <v>100</v>
      </c>
      <c r="E50" s="263">
        <f t="shared" si="0"/>
        <v>0.51715572640000007</v>
      </c>
      <c r="F50" s="263">
        <f t="shared" si="1"/>
        <v>0.45726401379999998</v>
      </c>
      <c r="G50" s="264">
        <f t="shared" si="2"/>
        <v>0.50218279825000012</v>
      </c>
      <c r="H50" s="165"/>
      <c r="I50" s="107">
        <v>100</v>
      </c>
      <c r="J50" s="118">
        <f t="shared" si="13"/>
        <v>0.47846117680000005</v>
      </c>
      <c r="K50" s="118">
        <f t="shared" si="14"/>
        <v>0.4230506731</v>
      </c>
      <c r="L50" s="118">
        <f t="shared" si="3"/>
        <v>0.46460855087500008</v>
      </c>
      <c r="M50" s="165"/>
      <c r="N50" s="107">
        <v>100</v>
      </c>
      <c r="O50" s="77">
        <f t="shared" si="4"/>
        <v>0.50425754320000005</v>
      </c>
      <c r="P50" s="77">
        <f t="shared" si="5"/>
        <v>0.44585956689999995</v>
      </c>
      <c r="Q50" s="77">
        <f t="shared" si="6"/>
        <v>0.48965804912499999</v>
      </c>
      <c r="R50" s="165"/>
      <c r="S50" s="107">
        <v>100</v>
      </c>
      <c r="T50" s="119">
        <f t="shared" si="7"/>
        <v>0.4317820376</v>
      </c>
      <c r="U50" s="119">
        <f t="shared" si="8"/>
        <v>0.38177743669999997</v>
      </c>
      <c r="V50" s="119">
        <f t="shared" si="9"/>
        <v>0.41928088737499997</v>
      </c>
      <c r="W50" s="165"/>
      <c r="X50" s="107">
        <v>100</v>
      </c>
      <c r="Y50" s="120">
        <f t="shared" si="10"/>
        <v>0.4317820376</v>
      </c>
      <c r="Z50" s="120">
        <f t="shared" si="11"/>
        <v>0.38177743669999997</v>
      </c>
      <c r="AA50" s="120">
        <f t="shared" si="12"/>
        <v>0.41928088737499997</v>
      </c>
    </row>
    <row r="51" spans="1:27" x14ac:dyDescent="0.2">
      <c r="A51" s="107">
        <v>101</v>
      </c>
      <c r="B51" s="107">
        <v>108</v>
      </c>
      <c r="D51" s="107">
        <v>101</v>
      </c>
      <c r="E51" s="263">
        <f t="shared" si="0"/>
        <v>0.51131906660000004</v>
      </c>
      <c r="F51" s="263">
        <f t="shared" si="1"/>
        <v>0.45103599240000003</v>
      </c>
      <c r="G51" s="264">
        <f t="shared" si="2"/>
        <v>0.49624829805000004</v>
      </c>
      <c r="H51" s="165"/>
      <c r="I51" s="107">
        <v>101</v>
      </c>
      <c r="J51" s="118">
        <f t="shared" si="13"/>
        <v>0.47306122670000006</v>
      </c>
      <c r="K51" s="118">
        <f t="shared" si="14"/>
        <v>0.41728864380000003</v>
      </c>
      <c r="L51" s="118">
        <f t="shared" si="3"/>
        <v>0.45911808097500006</v>
      </c>
      <c r="M51" s="165"/>
      <c r="N51" s="107">
        <v>101</v>
      </c>
      <c r="O51" s="77">
        <f t="shared" si="4"/>
        <v>0.49856645330000005</v>
      </c>
      <c r="P51" s="77">
        <f t="shared" si="5"/>
        <v>0.43978687620000001</v>
      </c>
      <c r="Q51" s="77">
        <f t="shared" si="6"/>
        <v>0.48387155902500001</v>
      </c>
      <c r="R51" s="165"/>
      <c r="S51" s="107">
        <v>101</v>
      </c>
      <c r="T51" s="119">
        <f t="shared" si="7"/>
        <v>0.42690891190000002</v>
      </c>
      <c r="U51" s="119">
        <f t="shared" si="8"/>
        <v>0.37657755660000003</v>
      </c>
      <c r="V51" s="119">
        <f t="shared" si="9"/>
        <v>0.41432607307500002</v>
      </c>
      <c r="W51" s="165"/>
      <c r="X51" s="107">
        <v>101</v>
      </c>
      <c r="Y51" s="120">
        <f t="shared" si="10"/>
        <v>0.42690891190000002</v>
      </c>
      <c r="Z51" s="120">
        <f t="shared" si="11"/>
        <v>0.37657755660000003</v>
      </c>
      <c r="AA51" s="120">
        <f t="shared" si="12"/>
        <v>0.41432607307500002</v>
      </c>
    </row>
  </sheetData>
  <mergeCells count="5">
    <mergeCell ref="I11:L11"/>
    <mergeCell ref="N11:Q11"/>
    <mergeCell ref="S11:V11"/>
    <mergeCell ref="X11:AA11"/>
    <mergeCell ref="D11:G11"/>
  </mergeCells>
  <pageMargins left="0.7" right="0.7" top="0.75" bottom="0.75" header="0.3" footer="0.3"/>
  <drawing r:id="rId1"/>
  <legacy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E3C93D-0673-4365-B38A-35B91936356B}">
  <sheetPr codeName="Sheet7"/>
  <dimension ref="A1:H46"/>
  <sheetViews>
    <sheetView workbookViewId="0">
      <pane ySplit="1" topLeftCell="A2" activePane="bottomLeft" state="frozen"/>
      <selection pane="bottomLeft" activeCell="I2" sqref="I2"/>
    </sheetView>
  </sheetViews>
  <sheetFormatPr baseColWidth="10" defaultColWidth="8.83203125" defaultRowHeight="15" x14ac:dyDescent="0.2"/>
  <cols>
    <col min="1" max="1" width="48" customWidth="1"/>
    <col min="2" max="2" width="12.83203125" customWidth="1"/>
    <col min="3" max="3" width="10.5" customWidth="1"/>
    <col min="4" max="5" width="9.1640625" customWidth="1"/>
    <col min="6" max="6" width="12.1640625" customWidth="1"/>
    <col min="7" max="7" width="14.1640625" customWidth="1"/>
    <col min="8" max="8" width="21.83203125" customWidth="1"/>
    <col min="10" max="10" width="11.5" customWidth="1"/>
    <col min="13" max="13" width="15.5" customWidth="1"/>
  </cols>
  <sheetData>
    <row r="1" spans="1:8" ht="26.25" customHeight="1" x14ac:dyDescent="0.2">
      <c r="A1" s="65" t="s">
        <v>324</v>
      </c>
      <c r="B1" s="65" t="s">
        <v>325</v>
      </c>
      <c r="C1" s="67" t="s">
        <v>377</v>
      </c>
      <c r="D1" s="623" t="s">
        <v>326</v>
      </c>
      <c r="E1" s="623"/>
      <c r="F1" s="70" t="s">
        <v>458</v>
      </c>
      <c r="G1" s="65" t="s">
        <v>383</v>
      </c>
    </row>
    <row r="2" spans="1:8" ht="32" x14ac:dyDescent="0.2">
      <c r="A2" s="72" t="s">
        <v>327</v>
      </c>
      <c r="B2" s="66" t="s">
        <v>477</v>
      </c>
      <c r="C2" s="52"/>
      <c r="D2" s="52"/>
      <c r="E2" s="52"/>
      <c r="F2" s="52"/>
      <c r="G2" s="71" t="s">
        <v>345</v>
      </c>
    </row>
    <row r="3" spans="1:8" x14ac:dyDescent="0.2">
      <c r="A3" s="73" t="s">
        <v>479</v>
      </c>
      <c r="B3" s="102">
        <v>0.72</v>
      </c>
      <c r="C3" s="52"/>
      <c r="D3" s="52"/>
      <c r="E3" s="52"/>
      <c r="F3" s="52"/>
      <c r="G3" s="71" t="s">
        <v>480</v>
      </c>
    </row>
    <row r="4" spans="1:8" ht="16.5" customHeight="1" x14ac:dyDescent="0.2">
      <c r="A4" s="52" t="s">
        <v>337</v>
      </c>
      <c r="B4" s="181">
        <v>0.5005588376177551</v>
      </c>
      <c r="E4" s="52" t="s">
        <v>350</v>
      </c>
      <c r="F4" s="52"/>
      <c r="G4" t="s">
        <v>621</v>
      </c>
      <c r="H4" s="180" t="s">
        <v>618</v>
      </c>
    </row>
    <row r="5" spans="1:8" ht="14.25" customHeight="1" x14ac:dyDescent="0.2">
      <c r="A5" s="52" t="s">
        <v>338</v>
      </c>
      <c r="B5" s="181">
        <v>0.47421363563787322</v>
      </c>
      <c r="C5" s="52" t="s">
        <v>350</v>
      </c>
      <c r="D5" s="52" t="s">
        <v>350</v>
      </c>
      <c r="E5" s="52" t="s">
        <v>350</v>
      </c>
      <c r="F5" s="52"/>
      <c r="G5" t="s">
        <v>621</v>
      </c>
      <c r="H5" s="180" t="s">
        <v>619</v>
      </c>
    </row>
    <row r="6" spans="1:8" ht="14.5" customHeight="1" x14ac:dyDescent="0.2">
      <c r="A6" s="52" t="s">
        <v>339</v>
      </c>
      <c r="B6" s="181">
        <v>2.5227526744371707E-2</v>
      </c>
      <c r="C6" s="52" t="s">
        <v>350</v>
      </c>
      <c r="D6" s="52" t="s">
        <v>350</v>
      </c>
      <c r="E6" s="52" t="s">
        <v>350</v>
      </c>
      <c r="F6" s="52"/>
      <c r="G6" t="s">
        <v>621</v>
      </c>
      <c r="H6" s="180" t="s">
        <v>620</v>
      </c>
    </row>
    <row r="7" spans="1:8" ht="6" customHeight="1" x14ac:dyDescent="0.2">
      <c r="A7" s="52"/>
      <c r="B7" s="54"/>
      <c r="C7" s="52"/>
      <c r="D7" s="52"/>
      <c r="E7" s="52"/>
      <c r="F7" s="52"/>
      <c r="G7" s="71"/>
    </row>
    <row r="8" spans="1:8" x14ac:dyDescent="0.2">
      <c r="A8" s="52" t="s">
        <v>380</v>
      </c>
      <c r="B8" s="53">
        <f>2962/54518</f>
        <v>5.4330679775486994E-2</v>
      </c>
      <c r="C8" s="53"/>
      <c r="D8" s="53"/>
      <c r="E8" s="53"/>
      <c r="F8" s="53"/>
      <c r="G8" s="71" t="s">
        <v>328</v>
      </c>
    </row>
    <row r="9" spans="1:8" x14ac:dyDescent="0.2">
      <c r="A9" s="52" t="s">
        <v>381</v>
      </c>
      <c r="B9" s="53">
        <f>101/2392</f>
        <v>4.2224080267558528E-2</v>
      </c>
      <c r="C9" s="53"/>
      <c r="D9" s="53"/>
      <c r="E9" s="53"/>
      <c r="F9" s="53"/>
      <c r="G9" s="71" t="s">
        <v>467</v>
      </c>
    </row>
    <row r="10" spans="1:8" x14ac:dyDescent="0.2">
      <c r="A10" s="52" t="s">
        <v>382</v>
      </c>
      <c r="B10" s="53"/>
      <c r="C10" s="53"/>
      <c r="D10" s="53"/>
      <c r="E10" s="53"/>
      <c r="F10" s="53"/>
      <c r="G10" s="71" t="s">
        <v>384</v>
      </c>
    </row>
    <row r="11" spans="1:8" x14ac:dyDescent="0.2">
      <c r="A11" s="52" t="s">
        <v>396</v>
      </c>
      <c r="B11" s="53"/>
      <c r="C11" s="53"/>
      <c r="D11" s="53"/>
      <c r="E11" s="53"/>
      <c r="F11" s="53"/>
      <c r="G11" s="71"/>
    </row>
    <row r="12" spans="1:8" x14ac:dyDescent="0.2">
      <c r="A12" s="52" t="s">
        <v>397</v>
      </c>
      <c r="B12" s="53"/>
      <c r="C12" s="53"/>
      <c r="D12" s="53"/>
      <c r="E12" s="53"/>
      <c r="F12" s="53"/>
      <c r="G12" s="71"/>
    </row>
    <row r="13" spans="1:8" ht="6.75" customHeight="1" x14ac:dyDescent="0.2">
      <c r="A13" s="52"/>
      <c r="B13" s="54"/>
      <c r="C13" s="64"/>
      <c r="D13" s="64"/>
      <c r="E13" s="68"/>
      <c r="F13" s="68"/>
      <c r="G13" s="71"/>
    </row>
    <row r="14" spans="1:8" x14ac:dyDescent="0.2">
      <c r="A14" s="52" t="s">
        <v>374</v>
      </c>
      <c r="B14" s="53"/>
      <c r="C14" s="53"/>
      <c r="D14" s="51"/>
      <c r="E14" s="51"/>
      <c r="F14" s="51"/>
      <c r="G14" s="71" t="s">
        <v>366</v>
      </c>
    </row>
    <row r="15" spans="1:8" x14ac:dyDescent="0.2">
      <c r="A15" s="52" t="s">
        <v>375</v>
      </c>
      <c r="B15" s="53"/>
      <c r="C15" s="53"/>
      <c r="D15" s="51"/>
      <c r="E15" s="51"/>
      <c r="F15" s="51"/>
      <c r="G15" s="71" t="s">
        <v>388</v>
      </c>
    </row>
    <row r="16" spans="1:8" x14ac:dyDescent="0.2">
      <c r="A16" s="52" t="s">
        <v>376</v>
      </c>
      <c r="B16" s="53"/>
      <c r="C16" s="53"/>
      <c r="D16" s="51"/>
      <c r="E16" s="51"/>
      <c r="F16" s="51"/>
      <c r="G16" s="71" t="s">
        <v>389</v>
      </c>
    </row>
    <row r="17" spans="1:7" x14ac:dyDescent="0.2">
      <c r="A17" s="52" t="s">
        <v>398</v>
      </c>
      <c r="B17" s="53"/>
      <c r="C17" s="53"/>
      <c r="D17" s="51"/>
      <c r="E17" s="51"/>
      <c r="F17" s="51"/>
      <c r="G17" s="71" t="s">
        <v>390</v>
      </c>
    </row>
    <row r="18" spans="1:7" x14ac:dyDescent="0.2">
      <c r="A18" s="52" t="s">
        <v>399</v>
      </c>
      <c r="B18" s="53"/>
      <c r="C18" s="53"/>
      <c r="D18" s="51"/>
      <c r="E18" s="51"/>
      <c r="F18" s="51"/>
      <c r="G18" s="71" t="s">
        <v>391</v>
      </c>
    </row>
    <row r="19" spans="1:7" ht="6" customHeight="1" x14ac:dyDescent="0.2">
      <c r="A19" s="52"/>
      <c r="B19" s="52"/>
      <c r="C19" s="52"/>
      <c r="D19" s="52"/>
      <c r="E19" s="52"/>
      <c r="F19" s="52"/>
      <c r="G19" s="71"/>
    </row>
    <row r="20" spans="1:7" x14ac:dyDescent="0.2">
      <c r="A20" s="52" t="s">
        <v>371</v>
      </c>
      <c r="B20" s="53"/>
      <c r="C20" s="53"/>
      <c r="D20" s="51"/>
      <c r="E20" s="51"/>
      <c r="F20" s="51"/>
      <c r="G20" s="71" t="s">
        <v>391</v>
      </c>
    </row>
    <row r="21" spans="1:7" x14ac:dyDescent="0.2">
      <c r="A21" s="52" t="s">
        <v>372</v>
      </c>
      <c r="B21" s="53"/>
      <c r="C21" s="53"/>
      <c r="D21" s="51"/>
      <c r="E21" s="51"/>
      <c r="F21" s="51"/>
      <c r="G21" s="71" t="s">
        <v>392</v>
      </c>
    </row>
    <row r="22" spans="1:7" x14ac:dyDescent="0.2">
      <c r="A22" s="52" t="s">
        <v>373</v>
      </c>
      <c r="B22" s="53"/>
      <c r="C22" s="53"/>
      <c r="D22" s="51"/>
      <c r="E22" s="51"/>
      <c r="F22" s="51"/>
      <c r="G22" s="71" t="s">
        <v>393</v>
      </c>
    </row>
    <row r="23" spans="1:7" x14ac:dyDescent="0.2">
      <c r="A23" s="52" t="s">
        <v>400</v>
      </c>
      <c r="B23" s="53"/>
      <c r="C23" s="53"/>
      <c r="D23" s="51"/>
      <c r="E23" s="51"/>
      <c r="F23" s="51"/>
      <c r="G23" s="71" t="s">
        <v>394</v>
      </c>
    </row>
    <row r="24" spans="1:7" x14ac:dyDescent="0.2">
      <c r="A24" s="52" t="s">
        <v>401</v>
      </c>
      <c r="B24" s="53"/>
      <c r="C24" s="53"/>
      <c r="D24" s="51"/>
      <c r="E24" s="51"/>
      <c r="F24" s="51"/>
      <c r="G24" s="71" t="s">
        <v>395</v>
      </c>
    </row>
    <row r="25" spans="1:7" ht="7.5" customHeight="1" x14ac:dyDescent="0.2">
      <c r="A25" s="52"/>
      <c r="B25" s="52"/>
      <c r="C25" s="52"/>
      <c r="D25" s="52"/>
      <c r="E25" s="52"/>
      <c r="F25" s="52"/>
    </row>
    <row r="26" spans="1:7" x14ac:dyDescent="0.2">
      <c r="A26" s="52" t="s">
        <v>403</v>
      </c>
      <c r="B26" s="69"/>
      <c r="C26" s="52"/>
      <c r="D26" s="52"/>
      <c r="E26" s="52"/>
      <c r="F26" s="52"/>
      <c r="G26" t="s">
        <v>402</v>
      </c>
    </row>
    <row r="27" spans="1:7" x14ac:dyDescent="0.2">
      <c r="A27" s="52" t="s">
        <v>404</v>
      </c>
      <c r="B27" s="69"/>
      <c r="C27" s="52"/>
      <c r="D27" s="52"/>
      <c r="E27" s="52"/>
      <c r="F27" s="52"/>
      <c r="G27" t="s">
        <v>402</v>
      </c>
    </row>
    <row r="28" spans="1:7" ht="6" customHeight="1" x14ac:dyDescent="0.2">
      <c r="A28" s="52"/>
      <c r="B28" s="52"/>
      <c r="C28" s="52"/>
      <c r="D28" s="52"/>
      <c r="E28" s="52"/>
      <c r="F28" s="52"/>
    </row>
    <row r="29" spans="1:7" x14ac:dyDescent="0.2">
      <c r="A29" s="52" t="s">
        <v>405</v>
      </c>
      <c r="B29" s="53"/>
      <c r="C29" s="52"/>
      <c r="D29" s="52"/>
      <c r="E29" s="52"/>
      <c r="F29" s="52"/>
    </row>
    <row r="30" spans="1:7" x14ac:dyDescent="0.2">
      <c r="A30" s="52" t="s">
        <v>406</v>
      </c>
      <c r="B30" s="53"/>
      <c r="C30" s="52"/>
      <c r="D30" s="52"/>
      <c r="E30" s="52"/>
      <c r="F30" s="52"/>
    </row>
    <row r="31" spans="1:7" x14ac:dyDescent="0.2">
      <c r="A31" s="52" t="s">
        <v>407</v>
      </c>
      <c r="B31" s="53"/>
      <c r="C31" s="52"/>
      <c r="D31" s="52"/>
      <c r="E31" s="52"/>
      <c r="F31" s="52"/>
    </row>
    <row r="32" spans="1:7" x14ac:dyDescent="0.2">
      <c r="A32" s="52" t="s">
        <v>408</v>
      </c>
      <c r="B32" s="53"/>
      <c r="C32" s="53"/>
      <c r="D32" s="53"/>
      <c r="E32" s="53"/>
      <c r="F32" s="53"/>
      <c r="G32" s="71" t="s">
        <v>344</v>
      </c>
    </row>
    <row r="33" spans="1:7" x14ac:dyDescent="0.2">
      <c r="A33" s="52" t="s">
        <v>409</v>
      </c>
      <c r="B33" s="53"/>
      <c r="C33" s="53"/>
      <c r="D33" s="53"/>
      <c r="E33" s="53"/>
      <c r="F33" s="53"/>
      <c r="G33" s="71" t="s">
        <v>344</v>
      </c>
    </row>
    <row r="34" spans="1:7" ht="11.25" customHeight="1" x14ac:dyDescent="0.2">
      <c r="A34" s="52"/>
      <c r="B34" s="52"/>
      <c r="C34" s="52"/>
      <c r="D34" s="52"/>
      <c r="E34" s="52"/>
      <c r="F34" s="52"/>
    </row>
    <row r="35" spans="1:7" x14ac:dyDescent="0.2">
      <c r="A35" s="52" t="s">
        <v>452</v>
      </c>
      <c r="B35" s="51">
        <v>0.84199999999999997</v>
      </c>
      <c r="C35" s="51">
        <v>2E-3</v>
      </c>
      <c r="D35" s="64">
        <v>0.83807999999999905</v>
      </c>
      <c r="E35" s="64">
        <v>0.84592000000000001</v>
      </c>
      <c r="F35" s="64" t="s">
        <v>459</v>
      </c>
      <c r="G35" t="s">
        <v>457</v>
      </c>
    </row>
    <row r="36" spans="1:7" x14ac:dyDescent="0.2">
      <c r="A36" s="52" t="s">
        <v>453</v>
      </c>
      <c r="B36" s="51">
        <v>0.77900000000000003</v>
      </c>
      <c r="C36" s="51">
        <v>0.01</v>
      </c>
      <c r="D36" s="64">
        <v>0.75939999999999996</v>
      </c>
      <c r="E36" s="64">
        <v>0.79859999999999998</v>
      </c>
      <c r="F36" s="64" t="s">
        <v>459</v>
      </c>
      <c r="G36" t="s">
        <v>457</v>
      </c>
    </row>
    <row r="37" spans="1:7" x14ac:dyDescent="0.2">
      <c r="A37" s="52" t="s">
        <v>454</v>
      </c>
      <c r="B37" s="51">
        <v>0.82099999999999995</v>
      </c>
      <c r="C37" s="51">
        <v>3.7999999999999999E-2</v>
      </c>
      <c r="D37" s="64">
        <v>0.74651999999999996</v>
      </c>
      <c r="E37" s="64">
        <v>0.89547999999999905</v>
      </c>
      <c r="F37" s="64" t="s">
        <v>459</v>
      </c>
      <c r="G37" t="s">
        <v>457</v>
      </c>
    </row>
    <row r="38" spans="1:7" x14ac:dyDescent="0.2">
      <c r="A38" s="52" t="s">
        <v>455</v>
      </c>
      <c r="B38" s="51">
        <v>0.70299999999999996</v>
      </c>
      <c r="C38" s="51">
        <v>0.01</v>
      </c>
      <c r="D38" s="64">
        <v>0.68340000000000001</v>
      </c>
      <c r="E38" s="64">
        <v>0.72259999999999902</v>
      </c>
      <c r="F38" s="64" t="s">
        <v>459</v>
      </c>
      <c r="G38" t="s">
        <v>457</v>
      </c>
    </row>
    <row r="39" spans="1:7" x14ac:dyDescent="0.2">
      <c r="A39" s="52" t="s">
        <v>456</v>
      </c>
      <c r="B39" s="51">
        <v>0.70299999999999996</v>
      </c>
      <c r="C39" s="51">
        <v>3.7999999999999999E-2</v>
      </c>
      <c r="D39" s="64">
        <v>0.62851999999999997</v>
      </c>
      <c r="E39" s="64">
        <v>0.77747999999999995</v>
      </c>
      <c r="F39" s="64" t="s">
        <v>459</v>
      </c>
      <c r="G39" t="s">
        <v>457</v>
      </c>
    </row>
    <row r="40" spans="1:7" x14ac:dyDescent="0.2">
      <c r="A40" s="52"/>
      <c r="B40" s="52"/>
      <c r="C40" s="52"/>
      <c r="D40" s="52"/>
      <c r="E40" s="52"/>
      <c r="F40" s="52"/>
    </row>
    <row r="41" spans="1:7" x14ac:dyDescent="0.2">
      <c r="A41" s="52"/>
      <c r="B41" s="52"/>
      <c r="C41" s="52"/>
      <c r="D41" s="52"/>
      <c r="E41" s="52"/>
      <c r="F41" s="52"/>
    </row>
    <row r="42" spans="1:7" x14ac:dyDescent="0.2">
      <c r="A42" s="52"/>
      <c r="B42" s="52"/>
      <c r="C42" s="52"/>
      <c r="D42" s="52"/>
      <c r="E42" s="52"/>
      <c r="F42" s="52"/>
    </row>
    <row r="43" spans="1:7" x14ac:dyDescent="0.2">
      <c r="A43" s="52"/>
      <c r="B43" s="52"/>
      <c r="C43" s="52"/>
      <c r="D43" s="52"/>
      <c r="E43" s="52"/>
      <c r="F43" s="52"/>
    </row>
    <row r="44" spans="1:7" x14ac:dyDescent="0.2">
      <c r="A44" s="52"/>
      <c r="B44" s="52"/>
      <c r="C44" s="52"/>
      <c r="D44" s="52"/>
      <c r="E44" s="52"/>
      <c r="F44" s="52"/>
    </row>
    <row r="45" spans="1:7" x14ac:dyDescent="0.2">
      <c r="A45" s="52"/>
      <c r="B45" s="52"/>
      <c r="C45" s="52"/>
      <c r="D45" s="52"/>
      <c r="E45" s="52"/>
      <c r="F45" s="52"/>
    </row>
    <row r="46" spans="1:7" x14ac:dyDescent="0.2">
      <c r="A46" s="52"/>
      <c r="B46" s="52"/>
      <c r="C46" s="52"/>
      <c r="D46" s="52"/>
      <c r="E46" s="52"/>
      <c r="F46" s="52"/>
    </row>
  </sheetData>
  <mergeCells count="1">
    <mergeCell ref="D1:E1"/>
  </mergeCells>
  <phoneticPr fontId="4" type="noConversion"/>
  <hyperlinks>
    <hyperlink ref="H4" r:id="rId1" display="https://doi.org/10.1161/jaha.124.034414" xr:uid="{48D448B9-AE66-47A6-BE78-10248833A54A}"/>
    <hyperlink ref="H5:H6" r:id="rId2" display="https://doi.org/10.1161/jaha.124.034414" xr:uid="{663575C2-49D4-448C-81C7-8723C54A4564}"/>
  </hyperlinks>
  <pageMargins left="0.7" right="0.7" top="0.75" bottom="0.75" header="0.3" footer="0.3"/>
  <pageSetup paperSize="9" orientation="portrait" r:id="rId3"/>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F9F0CF-F9F3-4860-8E1D-8B64CEEB54E7}">
  <dimension ref="C3:R12"/>
  <sheetViews>
    <sheetView workbookViewId="0">
      <selection activeCell="I18" sqref="I18"/>
    </sheetView>
  </sheetViews>
  <sheetFormatPr baseColWidth="10" defaultColWidth="8.83203125" defaultRowHeight="15" x14ac:dyDescent="0.2"/>
  <sheetData>
    <row r="3" spans="3:18" ht="16" thickBot="1" x14ac:dyDescent="0.25"/>
    <row r="4" spans="3:18" x14ac:dyDescent="0.2">
      <c r="C4" s="624" t="s">
        <v>469</v>
      </c>
      <c r="D4" s="625"/>
      <c r="E4" s="625"/>
      <c r="F4" s="626"/>
      <c r="G4" s="56"/>
      <c r="H4" s="56"/>
      <c r="I4" s="56"/>
      <c r="J4" s="56"/>
      <c r="K4" s="56"/>
      <c r="L4" s="56"/>
      <c r="M4" s="56"/>
      <c r="N4" s="56"/>
      <c r="O4" s="56"/>
      <c r="P4" s="56"/>
      <c r="Q4" s="56"/>
      <c r="R4" s="57"/>
    </row>
    <row r="5" spans="3:18" x14ac:dyDescent="0.2">
      <c r="C5" s="58" t="s">
        <v>354</v>
      </c>
      <c r="D5" s="52" t="s">
        <v>464</v>
      </c>
      <c r="E5" s="52" t="s">
        <v>340</v>
      </c>
      <c r="F5" s="52" t="s">
        <v>465</v>
      </c>
      <c r="G5" s="52" t="s">
        <v>364</v>
      </c>
      <c r="H5" s="52" t="s">
        <v>355</v>
      </c>
      <c r="I5" s="52" t="s">
        <v>356</v>
      </c>
      <c r="J5" s="52" t="s">
        <v>365</v>
      </c>
      <c r="K5" s="52" t="s">
        <v>355</v>
      </c>
      <c r="L5" s="52" t="s">
        <v>356</v>
      </c>
      <c r="M5" s="52" t="s">
        <v>357</v>
      </c>
      <c r="N5" s="52" t="s">
        <v>355</v>
      </c>
      <c r="O5" s="52" t="s">
        <v>334</v>
      </c>
      <c r="P5" s="52" t="s">
        <v>358</v>
      </c>
      <c r="Q5" s="52" t="s">
        <v>355</v>
      </c>
      <c r="R5" s="59" t="s">
        <v>334</v>
      </c>
    </row>
    <row r="6" spans="3:18" x14ac:dyDescent="0.2">
      <c r="C6" s="58" t="s">
        <v>359</v>
      </c>
      <c r="D6" s="52">
        <v>1023</v>
      </c>
      <c r="E6" s="52">
        <v>406</v>
      </c>
      <c r="F6" s="52">
        <v>1158</v>
      </c>
      <c r="G6" s="52"/>
      <c r="H6" s="52"/>
      <c r="I6" s="52"/>
      <c r="J6" s="52"/>
      <c r="K6" s="52"/>
      <c r="L6" s="52"/>
      <c r="M6" s="52"/>
      <c r="N6" s="52"/>
      <c r="O6" s="52"/>
      <c r="P6" s="52"/>
      <c r="Q6" s="52"/>
      <c r="R6" s="59"/>
    </row>
    <row r="7" spans="3:18" x14ac:dyDescent="0.2">
      <c r="C7" s="58" t="s">
        <v>360</v>
      </c>
      <c r="D7" s="64">
        <f>22/D6</f>
        <v>2.1505376344086023E-2</v>
      </c>
      <c r="E7" s="64">
        <f>9/E6</f>
        <v>2.2167487684729065E-2</v>
      </c>
      <c r="F7" s="64">
        <f>39/F6</f>
        <v>3.367875647668394E-2</v>
      </c>
      <c r="G7" s="55">
        <v>1.26</v>
      </c>
      <c r="H7" s="52">
        <v>0.56000000000000005</v>
      </c>
      <c r="I7" s="52">
        <v>2.87</v>
      </c>
      <c r="J7" s="55">
        <v>1.99</v>
      </c>
      <c r="K7" s="52">
        <v>1.1100000000000001</v>
      </c>
      <c r="L7" s="52">
        <v>3.57</v>
      </c>
      <c r="M7" s="52">
        <f t="shared" ref="M7:M12" si="0">D7*G7</f>
        <v>2.709677419354839E-2</v>
      </c>
      <c r="N7" s="52">
        <f t="shared" ref="N7:N12" si="1">D7*H7</f>
        <v>1.2043010752688174E-2</v>
      </c>
      <c r="O7" s="52">
        <f t="shared" ref="O7:O12" si="2">D7*I7</f>
        <v>6.172043010752689E-2</v>
      </c>
      <c r="P7" s="52">
        <f t="shared" ref="P7:P12" si="3">D7*J7</f>
        <v>4.2795698924731188E-2</v>
      </c>
      <c r="Q7" s="52">
        <f t="shared" ref="Q7:Q12" si="4">D7*N7</f>
        <v>2.5898947855243384E-4</v>
      </c>
      <c r="R7" s="59">
        <f t="shared" ref="R7:R12" si="5">D7*O7</f>
        <v>1.3273210775812236E-3</v>
      </c>
    </row>
    <row r="8" spans="3:18" x14ac:dyDescent="0.2">
      <c r="C8" s="58" t="s">
        <v>361</v>
      </c>
      <c r="D8" s="64">
        <f>62/D6</f>
        <v>6.0606060606060608E-2</v>
      </c>
      <c r="E8" s="64">
        <f>39/E6</f>
        <v>9.6059113300492605E-2</v>
      </c>
      <c r="F8" s="64">
        <f>107/F6</f>
        <v>9.2400690846286701E-2</v>
      </c>
      <c r="G8" s="55">
        <v>1.9</v>
      </c>
      <c r="H8" s="52">
        <v>1.26</v>
      </c>
      <c r="I8" s="52">
        <v>2.88</v>
      </c>
      <c r="J8" s="55">
        <v>1.53</v>
      </c>
      <c r="K8" s="52">
        <v>1.0900000000000001</v>
      </c>
      <c r="L8" s="52">
        <v>2.15</v>
      </c>
      <c r="M8" s="52">
        <f t="shared" si="0"/>
        <v>0.11515151515151514</v>
      </c>
      <c r="N8" s="52">
        <f t="shared" si="1"/>
        <v>7.636363636363637E-2</v>
      </c>
      <c r="O8" s="52">
        <f t="shared" si="2"/>
        <v>0.17454545454545453</v>
      </c>
      <c r="P8" s="52">
        <f t="shared" si="3"/>
        <v>9.2727272727272728E-2</v>
      </c>
      <c r="Q8" s="52">
        <f t="shared" si="4"/>
        <v>4.6280991735537192E-3</v>
      </c>
      <c r="R8" s="59">
        <f t="shared" si="5"/>
        <v>1.0578512396694214E-2</v>
      </c>
    </row>
    <row r="9" spans="3:18" x14ac:dyDescent="0.2">
      <c r="C9" s="58" t="s">
        <v>362</v>
      </c>
      <c r="D9" s="64">
        <f>31/D6</f>
        <v>3.0303030303030304E-2</v>
      </c>
      <c r="E9" s="64">
        <f>7/E6</f>
        <v>1.7241379310344827E-2</v>
      </c>
      <c r="F9" s="64">
        <f>22/F6</f>
        <v>1.8998272884283247E-2</v>
      </c>
      <c r="G9" s="55">
        <v>1.3</v>
      </c>
      <c r="H9" s="52">
        <v>0.54</v>
      </c>
      <c r="I9" s="52">
        <v>3.17</v>
      </c>
      <c r="J9" s="55">
        <v>0.92</v>
      </c>
      <c r="K9" s="52">
        <v>0.51</v>
      </c>
      <c r="L9" s="52">
        <v>1.67</v>
      </c>
      <c r="M9" s="52">
        <f t="shared" si="0"/>
        <v>3.9393939393939398E-2</v>
      </c>
      <c r="N9" s="52">
        <f t="shared" si="1"/>
        <v>1.6363636363636365E-2</v>
      </c>
      <c r="O9" s="52">
        <f t="shared" si="2"/>
        <v>9.6060606060606055E-2</v>
      </c>
      <c r="P9" s="52">
        <f t="shared" si="3"/>
        <v>2.7878787878787881E-2</v>
      </c>
      <c r="Q9" s="52">
        <f t="shared" si="4"/>
        <v>4.9586776859504133E-4</v>
      </c>
      <c r="R9" s="59">
        <f t="shared" si="5"/>
        <v>2.9109274563820019E-3</v>
      </c>
    </row>
    <row r="10" spans="3:18" x14ac:dyDescent="0.2">
      <c r="C10" s="58" t="s">
        <v>363</v>
      </c>
      <c r="D10" s="64">
        <f>15/D6</f>
        <v>1.466275659824047E-2</v>
      </c>
      <c r="E10" s="64">
        <f>4/E6</f>
        <v>9.852216748768473E-3</v>
      </c>
      <c r="F10" s="64">
        <f>8/F6</f>
        <v>6.9084628670120895E-3</v>
      </c>
      <c r="G10" s="55">
        <v>1.48</v>
      </c>
      <c r="H10" s="52">
        <v>0.45</v>
      </c>
      <c r="I10" s="52">
        <v>4.87</v>
      </c>
      <c r="J10" s="55">
        <v>0.6</v>
      </c>
      <c r="K10" s="52">
        <v>0.24</v>
      </c>
      <c r="L10" s="52">
        <v>1.52</v>
      </c>
      <c r="M10" s="52">
        <f t="shared" si="0"/>
        <v>2.1700879765395895E-2</v>
      </c>
      <c r="N10" s="52">
        <f t="shared" si="1"/>
        <v>6.5982404692082114E-3</v>
      </c>
      <c r="O10" s="52">
        <f t="shared" si="2"/>
        <v>7.1407624633431088E-2</v>
      </c>
      <c r="P10" s="52">
        <f t="shared" si="3"/>
        <v>8.7976539589442824E-3</v>
      </c>
      <c r="Q10" s="52">
        <f t="shared" si="4"/>
        <v>9.6748393976660001E-5</v>
      </c>
      <c r="R10" s="59">
        <f t="shared" si="5"/>
        <v>1.0470326192585204E-3</v>
      </c>
    </row>
    <row r="11" spans="3:18" x14ac:dyDescent="0.2">
      <c r="C11" s="58" t="s">
        <v>348</v>
      </c>
      <c r="D11" s="64">
        <f>27/D6</f>
        <v>2.6392961876832845E-2</v>
      </c>
      <c r="E11" s="64">
        <f>12/E6</f>
        <v>2.9556650246305417E-2</v>
      </c>
      <c r="F11" s="64">
        <f>33/F6</f>
        <v>2.8497409326424871E-2</v>
      </c>
      <c r="G11" s="55">
        <v>1.2</v>
      </c>
      <c r="H11" s="52">
        <v>0.6</v>
      </c>
      <c r="I11" s="52">
        <v>2.42</v>
      </c>
      <c r="J11" s="55">
        <v>1.22</v>
      </c>
      <c r="K11" s="52">
        <v>0.69</v>
      </c>
      <c r="L11" s="52">
        <v>2.14</v>
      </c>
      <c r="M11" s="52">
        <f t="shared" si="0"/>
        <v>3.1671554252199412E-2</v>
      </c>
      <c r="N11" s="52">
        <f t="shared" si="1"/>
        <v>1.5835777126099706E-2</v>
      </c>
      <c r="O11" s="52">
        <f t="shared" si="2"/>
        <v>6.3870967741935486E-2</v>
      </c>
      <c r="P11" s="52">
        <f t="shared" si="3"/>
        <v>3.2199413489736067E-2</v>
      </c>
      <c r="Q11" s="52">
        <f t="shared" si="4"/>
        <v>4.1795306197917113E-4</v>
      </c>
      <c r="R11" s="59">
        <f t="shared" si="5"/>
        <v>1.6857440166493237E-3</v>
      </c>
    </row>
    <row r="12" spans="3:18" ht="16" thickBot="1" x14ac:dyDescent="0.25">
      <c r="C12" s="60" t="s">
        <v>349</v>
      </c>
      <c r="D12" s="64">
        <f>2/D6</f>
        <v>1.9550342130987292E-3</v>
      </c>
      <c r="E12" s="64">
        <f>1/E6</f>
        <v>2.4630541871921183E-3</v>
      </c>
      <c r="F12" s="64">
        <f>2/F6</f>
        <v>1.7271157167530224E-3</v>
      </c>
      <c r="G12" s="62">
        <v>0.71</v>
      </c>
      <c r="H12" s="61">
        <v>0.03</v>
      </c>
      <c r="I12" s="61">
        <v>16.21</v>
      </c>
      <c r="J12" s="62">
        <v>0.83</v>
      </c>
      <c r="K12" s="61">
        <v>0.06</v>
      </c>
      <c r="L12" s="61">
        <v>11.21</v>
      </c>
      <c r="M12" s="61">
        <f t="shared" si="0"/>
        <v>1.3880742913000978E-3</v>
      </c>
      <c r="N12" s="61">
        <f t="shared" si="1"/>
        <v>5.8651026392961877E-5</v>
      </c>
      <c r="O12" s="61">
        <f t="shared" si="2"/>
        <v>3.1691104594330402E-2</v>
      </c>
      <c r="P12" s="61">
        <f t="shared" si="3"/>
        <v>1.6226783968719453E-3</v>
      </c>
      <c r="Q12" s="61">
        <f t="shared" si="4"/>
        <v>1.1466476323159702E-7</v>
      </c>
      <c r="R12" s="63">
        <f t="shared" si="5"/>
        <v>6.1957193732806263E-5</v>
      </c>
    </row>
  </sheetData>
  <mergeCells count="1">
    <mergeCell ref="C4:F4"/>
  </mergeCells>
  <pageMargins left="0.7" right="0.7" top="0.75" bottom="0.75" header="0.3" footer="0.3"/>
  <legacy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29882D-F387-4F3A-9C49-D984EAA218E4}">
  <dimension ref="A7:A24"/>
  <sheetViews>
    <sheetView workbookViewId="0">
      <selection activeCell="C5" sqref="C5"/>
    </sheetView>
  </sheetViews>
  <sheetFormatPr baseColWidth="10" defaultColWidth="8.83203125" defaultRowHeight="15" x14ac:dyDescent="0.2"/>
  <cols>
    <col min="1" max="1" width="15.83203125" customWidth="1"/>
    <col min="2" max="2" width="31.5" customWidth="1"/>
  </cols>
  <sheetData>
    <row r="7" spans="1:1" x14ac:dyDescent="0.2">
      <c r="A7" s="250"/>
    </row>
    <row r="24" spans="1:1" x14ac:dyDescent="0.2">
      <c r="A24" s="81"/>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3" filterMode="1"/>
  <dimension ref="A1:Z57"/>
  <sheetViews>
    <sheetView zoomScaleNormal="100" workbookViewId="0">
      <pane xSplit="4" ySplit="1" topLeftCell="E2" activePane="bottomRight" state="frozen"/>
      <selection pane="topRight" activeCell="E1" sqref="E1"/>
      <selection pane="bottomLeft" activeCell="A2" sqref="A2"/>
      <selection pane="bottomRight" activeCell="D2" sqref="D2"/>
    </sheetView>
  </sheetViews>
  <sheetFormatPr baseColWidth="10" defaultColWidth="8.83203125" defaultRowHeight="16" x14ac:dyDescent="0.2"/>
  <cols>
    <col min="1" max="1" width="8.83203125" style="18"/>
    <col min="2" max="2" width="33.5" style="20" customWidth="1"/>
    <col min="3" max="3" width="8.5" style="18" customWidth="1"/>
    <col min="4" max="5" width="16.1640625" style="18" customWidth="1"/>
    <col min="6" max="6" width="24.1640625" style="18" customWidth="1"/>
    <col min="7" max="7" width="12.5" style="18" customWidth="1"/>
    <col min="8" max="8" width="40.5" style="18" customWidth="1"/>
    <col min="9" max="9" width="35.5" style="18" customWidth="1"/>
    <col min="10" max="10" width="22.83203125" style="18" customWidth="1"/>
    <col min="11" max="11" width="26.5" style="18" customWidth="1"/>
    <col min="12" max="12" width="15.83203125" style="18" customWidth="1"/>
    <col min="13" max="13" width="30.1640625" style="18" customWidth="1"/>
    <col min="14" max="14" width="40.1640625" style="18" customWidth="1"/>
    <col min="15" max="15" width="64.83203125" style="18" customWidth="1"/>
    <col min="16" max="16" width="68.1640625" style="18" customWidth="1"/>
    <col min="17" max="17" width="16.83203125" style="18" customWidth="1"/>
    <col min="18" max="18" width="54.83203125" style="18" customWidth="1"/>
    <col min="19" max="19" width="75" style="18" customWidth="1"/>
    <col min="20" max="20" width="38.1640625" style="20" customWidth="1"/>
    <col min="21" max="21" width="73.5" style="18" customWidth="1"/>
    <col min="22" max="22" width="18.83203125" style="18" customWidth="1"/>
    <col min="23" max="23" width="47.83203125" style="18" customWidth="1"/>
    <col min="24" max="24" width="62" style="18" customWidth="1"/>
    <col min="25" max="25" width="51.1640625" style="18" customWidth="1"/>
    <col min="26" max="26" width="96.5" style="18" customWidth="1"/>
    <col min="27" max="16384" width="8.83203125" style="18"/>
  </cols>
  <sheetData>
    <row r="1" spans="1:26" s="38" customFormat="1" ht="32.25" customHeight="1" x14ac:dyDescent="0.2">
      <c r="A1" s="38" t="s">
        <v>1313</v>
      </c>
      <c r="B1" s="39" t="s">
        <v>19</v>
      </c>
      <c r="C1" s="38" t="s">
        <v>20</v>
      </c>
      <c r="D1" s="38" t="s">
        <v>21</v>
      </c>
      <c r="E1" s="38" t="s">
        <v>22</v>
      </c>
      <c r="F1" s="39" t="s">
        <v>23</v>
      </c>
      <c r="G1" s="39" t="s">
        <v>24</v>
      </c>
      <c r="H1" s="39" t="s">
        <v>25</v>
      </c>
      <c r="I1" s="39" t="s">
        <v>26</v>
      </c>
      <c r="J1" s="39" t="s">
        <v>27</v>
      </c>
      <c r="K1" s="39" t="s">
        <v>28</v>
      </c>
      <c r="L1" s="39" t="s">
        <v>29</v>
      </c>
      <c r="M1" s="39" t="s">
        <v>30</v>
      </c>
      <c r="N1" s="39" t="s">
        <v>31</v>
      </c>
      <c r="O1" s="39" t="s">
        <v>32</v>
      </c>
      <c r="P1" s="39" t="s">
        <v>33</v>
      </c>
      <c r="Q1" s="39" t="s">
        <v>34</v>
      </c>
      <c r="R1" s="39" t="s">
        <v>35</v>
      </c>
      <c r="S1" s="39" t="s">
        <v>36</v>
      </c>
      <c r="T1" s="39" t="s">
        <v>37</v>
      </c>
      <c r="U1" s="88" t="s">
        <v>38</v>
      </c>
      <c r="V1" s="38" t="s">
        <v>39</v>
      </c>
      <c r="W1" s="38" t="s">
        <v>40</v>
      </c>
      <c r="X1" s="38" t="s">
        <v>41</v>
      </c>
    </row>
    <row r="2" spans="1:26" ht="237" customHeight="1" x14ac:dyDescent="0.2">
      <c r="A2" s="18" t="s">
        <v>42</v>
      </c>
      <c r="B2" s="27" t="s">
        <v>43</v>
      </c>
      <c r="C2" s="19">
        <v>2021</v>
      </c>
      <c r="D2" s="19" t="s">
        <v>44</v>
      </c>
      <c r="E2" s="19" t="s">
        <v>45</v>
      </c>
      <c r="F2" s="20" t="s">
        <v>46</v>
      </c>
      <c r="G2" s="21" t="s">
        <v>47</v>
      </c>
      <c r="H2" s="20" t="s">
        <v>48</v>
      </c>
      <c r="I2" s="20" t="s">
        <v>49</v>
      </c>
      <c r="J2" s="21" t="s">
        <v>50</v>
      </c>
      <c r="K2" s="21" t="s">
        <v>51</v>
      </c>
      <c r="L2" s="20" t="s">
        <v>52</v>
      </c>
      <c r="M2" s="20" t="s">
        <v>53</v>
      </c>
      <c r="N2" s="20" t="s">
        <v>54</v>
      </c>
      <c r="O2" s="20" t="s">
        <v>55</v>
      </c>
      <c r="P2" s="20" t="s">
        <v>56</v>
      </c>
      <c r="Q2" s="21" t="s">
        <v>57</v>
      </c>
      <c r="R2" s="20" t="s">
        <v>58</v>
      </c>
      <c r="S2" s="20" t="s">
        <v>59</v>
      </c>
      <c r="T2" s="46" t="s">
        <v>60</v>
      </c>
      <c r="U2" s="22" t="s">
        <v>61</v>
      </c>
    </row>
    <row r="3" spans="1:26" s="30" customFormat="1" ht="203.5" customHeight="1" x14ac:dyDescent="0.2">
      <c r="A3" s="29" t="s">
        <v>42</v>
      </c>
      <c r="B3" s="29" t="s">
        <v>62</v>
      </c>
      <c r="C3" s="29">
        <v>2017</v>
      </c>
      <c r="D3" s="29" t="s">
        <v>63</v>
      </c>
      <c r="E3" s="29" t="s">
        <v>64</v>
      </c>
      <c r="F3" s="29" t="s">
        <v>65</v>
      </c>
      <c r="G3" s="29" t="s">
        <v>47</v>
      </c>
      <c r="H3" s="29" t="s">
        <v>66</v>
      </c>
      <c r="I3" s="29" t="s">
        <v>67</v>
      </c>
      <c r="J3" s="29" t="s">
        <v>68</v>
      </c>
      <c r="K3" s="29" t="s">
        <v>69</v>
      </c>
      <c r="L3" s="29" t="s">
        <v>70</v>
      </c>
      <c r="M3" s="29" t="s">
        <v>71</v>
      </c>
      <c r="N3" s="29" t="s">
        <v>72</v>
      </c>
      <c r="O3" s="29" t="s">
        <v>73</v>
      </c>
      <c r="P3" s="28" t="s">
        <v>74</v>
      </c>
      <c r="Q3" s="29" t="s">
        <v>74</v>
      </c>
      <c r="R3" s="29" t="s">
        <v>75</v>
      </c>
      <c r="S3" s="29" t="s">
        <v>76</v>
      </c>
      <c r="T3" s="97" t="s">
        <v>77</v>
      </c>
      <c r="U3" s="89" t="s">
        <v>78</v>
      </c>
    </row>
    <row r="4" spans="1:26" ht="167.25" customHeight="1" x14ac:dyDescent="0.2">
      <c r="A4" s="18" t="s">
        <v>42</v>
      </c>
      <c r="B4" s="20" t="s">
        <v>79</v>
      </c>
      <c r="C4" s="19">
        <v>2022</v>
      </c>
      <c r="D4" s="20" t="s">
        <v>80</v>
      </c>
      <c r="E4" s="20" t="s">
        <v>81</v>
      </c>
      <c r="F4" s="20" t="s">
        <v>82</v>
      </c>
      <c r="G4" s="20" t="s">
        <v>47</v>
      </c>
      <c r="H4" s="20" t="s">
        <v>83</v>
      </c>
      <c r="I4" s="20" t="s">
        <v>84</v>
      </c>
      <c r="J4" s="20" t="s">
        <v>85</v>
      </c>
      <c r="K4" s="20" t="s">
        <v>86</v>
      </c>
      <c r="L4" s="20" t="s">
        <v>52</v>
      </c>
      <c r="M4" s="20" t="s">
        <v>87</v>
      </c>
      <c r="N4" s="20" t="s">
        <v>88</v>
      </c>
      <c r="O4" s="20" t="s">
        <v>89</v>
      </c>
      <c r="P4" s="20" t="s">
        <v>90</v>
      </c>
      <c r="Q4" s="20" t="s">
        <v>91</v>
      </c>
      <c r="R4" s="20" t="s">
        <v>92</v>
      </c>
      <c r="S4" s="20" t="s">
        <v>93</v>
      </c>
      <c r="T4" s="46" t="s">
        <v>94</v>
      </c>
      <c r="U4" s="90" t="s">
        <v>95</v>
      </c>
      <c r="V4" s="20"/>
      <c r="W4" s="20"/>
    </row>
    <row r="5" spans="1:26" s="25" customFormat="1" ht="221" x14ac:dyDescent="0.2">
      <c r="A5" s="25" t="s">
        <v>42</v>
      </c>
      <c r="B5" s="24" t="s">
        <v>96</v>
      </c>
      <c r="C5" s="26">
        <v>2023</v>
      </c>
      <c r="D5" s="26" t="s">
        <v>97</v>
      </c>
      <c r="E5" s="24" t="s">
        <v>64</v>
      </c>
      <c r="F5" s="24" t="s">
        <v>98</v>
      </c>
      <c r="G5" s="24" t="s">
        <v>99</v>
      </c>
      <c r="H5" s="24" t="s">
        <v>100</v>
      </c>
      <c r="I5" s="24" t="s">
        <v>101</v>
      </c>
      <c r="J5" s="24" t="s">
        <v>102</v>
      </c>
      <c r="K5" s="24" t="s">
        <v>103</v>
      </c>
      <c r="L5" s="24" t="s">
        <v>104</v>
      </c>
      <c r="M5" s="24" t="s">
        <v>105</v>
      </c>
      <c r="N5" s="24" t="s">
        <v>106</v>
      </c>
      <c r="O5" s="24" t="s">
        <v>107</v>
      </c>
      <c r="P5" s="24" t="s">
        <v>108</v>
      </c>
      <c r="Q5" s="24" t="s">
        <v>109</v>
      </c>
      <c r="R5" s="24" t="s">
        <v>110</v>
      </c>
      <c r="S5" s="24" t="s">
        <v>111</v>
      </c>
      <c r="T5" s="98" t="s">
        <v>112</v>
      </c>
      <c r="U5" s="91" t="s">
        <v>113</v>
      </c>
    </row>
    <row r="6" spans="1:26" ht="136" x14ac:dyDescent="0.2">
      <c r="A6" s="18" t="s">
        <v>42</v>
      </c>
      <c r="B6" s="20" t="s">
        <v>114</v>
      </c>
      <c r="C6" s="20">
        <v>2019</v>
      </c>
      <c r="D6" s="19" t="s">
        <v>115</v>
      </c>
      <c r="E6" s="19" t="s">
        <v>116</v>
      </c>
      <c r="F6" s="20" t="s">
        <v>117</v>
      </c>
      <c r="G6" s="20" t="s">
        <v>118</v>
      </c>
      <c r="H6" s="20" t="s">
        <v>119</v>
      </c>
      <c r="I6" s="20" t="s">
        <v>120</v>
      </c>
      <c r="J6" s="20" t="s">
        <v>121</v>
      </c>
      <c r="K6" s="20" t="s">
        <v>122</v>
      </c>
      <c r="L6" s="20" t="s">
        <v>123</v>
      </c>
      <c r="M6" s="20" t="s">
        <v>124</v>
      </c>
      <c r="N6" s="20" t="s">
        <v>125</v>
      </c>
      <c r="O6" s="20" t="s">
        <v>126</v>
      </c>
      <c r="P6" s="20" t="s">
        <v>74</v>
      </c>
      <c r="Q6" s="20" t="s">
        <v>74</v>
      </c>
      <c r="R6" s="20" t="s">
        <v>127</v>
      </c>
      <c r="S6" s="20" t="s">
        <v>128</v>
      </c>
      <c r="T6" s="20" t="s">
        <v>129</v>
      </c>
      <c r="U6" s="92"/>
    </row>
    <row r="7" spans="1:26" s="31" customFormat="1" ht="204" customHeight="1" x14ac:dyDescent="0.2">
      <c r="A7" s="31" t="s">
        <v>42</v>
      </c>
      <c r="B7" s="32" t="s">
        <v>130</v>
      </c>
      <c r="C7" s="33">
        <v>2020</v>
      </c>
      <c r="D7" s="33" t="s">
        <v>131</v>
      </c>
      <c r="E7" s="33" t="s">
        <v>132</v>
      </c>
      <c r="F7" s="40" t="s">
        <v>133</v>
      </c>
      <c r="G7" s="23" t="s">
        <v>134</v>
      </c>
      <c r="H7" s="23" t="s">
        <v>135</v>
      </c>
      <c r="I7" s="23" t="s">
        <v>136</v>
      </c>
      <c r="J7" s="23" t="s">
        <v>137</v>
      </c>
      <c r="K7" s="23" t="s">
        <v>138</v>
      </c>
      <c r="L7" s="23" t="s">
        <v>139</v>
      </c>
      <c r="M7" s="23" t="s">
        <v>140</v>
      </c>
      <c r="N7" s="23" t="s">
        <v>141</v>
      </c>
      <c r="O7" s="23" t="s">
        <v>142</v>
      </c>
      <c r="P7" s="23" t="s">
        <v>143</v>
      </c>
      <c r="Q7" s="23" t="s">
        <v>144</v>
      </c>
      <c r="R7" s="23" t="s">
        <v>145</v>
      </c>
      <c r="S7" s="23" t="s">
        <v>146</v>
      </c>
      <c r="T7" s="41" t="s">
        <v>147</v>
      </c>
      <c r="U7" s="93" t="s">
        <v>148</v>
      </c>
    </row>
    <row r="8" spans="1:26" ht="210.75" customHeight="1" x14ac:dyDescent="0.2">
      <c r="A8" s="18" t="s">
        <v>42</v>
      </c>
      <c r="B8" s="20" t="s">
        <v>149</v>
      </c>
      <c r="C8" s="20">
        <v>2019</v>
      </c>
      <c r="D8" s="20" t="s">
        <v>150</v>
      </c>
      <c r="E8" s="20" t="s">
        <v>64</v>
      </c>
      <c r="F8" s="20" t="s">
        <v>151</v>
      </c>
      <c r="G8" s="20" t="s">
        <v>152</v>
      </c>
      <c r="H8" s="20" t="s">
        <v>153</v>
      </c>
      <c r="I8" s="20" t="s">
        <v>154</v>
      </c>
      <c r="J8" s="99" t="s">
        <v>155</v>
      </c>
      <c r="K8" s="99" t="s">
        <v>156</v>
      </c>
      <c r="L8" s="20" t="s">
        <v>70</v>
      </c>
      <c r="M8" s="20" t="s">
        <v>157</v>
      </c>
      <c r="N8" s="20" t="s">
        <v>158</v>
      </c>
      <c r="O8" s="20" t="s">
        <v>159</v>
      </c>
      <c r="P8" s="20" t="s">
        <v>74</v>
      </c>
      <c r="Q8" s="20" t="s">
        <v>74</v>
      </c>
      <c r="R8" s="20" t="s">
        <v>160</v>
      </c>
      <c r="S8" s="20" t="s">
        <v>161</v>
      </c>
      <c r="T8" s="97" t="s">
        <v>162</v>
      </c>
      <c r="U8" s="90" t="s">
        <v>163</v>
      </c>
    </row>
    <row r="9" spans="1:26" s="34" customFormat="1" ht="304" x14ac:dyDescent="0.2">
      <c r="A9" s="34" t="s">
        <v>42</v>
      </c>
      <c r="B9" s="35" t="s">
        <v>164</v>
      </c>
      <c r="C9" s="36">
        <v>2015</v>
      </c>
      <c r="D9" s="36" t="s">
        <v>165</v>
      </c>
      <c r="E9" s="36" t="s">
        <v>64</v>
      </c>
      <c r="F9" s="35" t="s">
        <v>166</v>
      </c>
      <c r="G9" s="37" t="s">
        <v>167</v>
      </c>
      <c r="H9" s="37" t="s">
        <v>168</v>
      </c>
      <c r="I9" s="37" t="s">
        <v>169</v>
      </c>
      <c r="J9" s="37" t="s">
        <v>170</v>
      </c>
      <c r="K9" s="37" t="s">
        <v>171</v>
      </c>
      <c r="L9" s="37" t="s">
        <v>172</v>
      </c>
      <c r="M9" s="37" t="s">
        <v>173</v>
      </c>
      <c r="N9" s="37" t="s">
        <v>174</v>
      </c>
      <c r="O9" s="37" t="s">
        <v>175</v>
      </c>
      <c r="P9" s="37" t="s">
        <v>176</v>
      </c>
      <c r="Q9" s="37" t="s">
        <v>144</v>
      </c>
      <c r="R9" s="37" t="s">
        <v>177</v>
      </c>
      <c r="S9" s="37" t="s">
        <v>178</v>
      </c>
      <c r="T9" s="41" t="s">
        <v>179</v>
      </c>
      <c r="U9" s="94"/>
      <c r="W9" s="34" t="s">
        <v>180</v>
      </c>
    </row>
    <row r="10" spans="1:26" ht="304.5" hidden="1" customHeight="1" x14ac:dyDescent="0.2">
      <c r="A10" s="18" t="s">
        <v>181</v>
      </c>
      <c r="B10" s="27" t="s">
        <v>182</v>
      </c>
      <c r="C10" s="19">
        <v>2016</v>
      </c>
      <c r="D10" s="19" t="s">
        <v>165</v>
      </c>
      <c r="E10" s="19" t="s">
        <v>64</v>
      </c>
      <c r="F10" s="100" t="s">
        <v>183</v>
      </c>
      <c r="G10" s="99" t="s">
        <v>99</v>
      </c>
      <c r="H10" s="100" t="s">
        <v>184</v>
      </c>
      <c r="I10" s="20" t="s">
        <v>185</v>
      </c>
      <c r="J10" s="20" t="s">
        <v>186</v>
      </c>
      <c r="K10" s="20" t="s">
        <v>187</v>
      </c>
      <c r="L10" s="100" t="s">
        <v>188</v>
      </c>
      <c r="M10" s="100" t="s">
        <v>189</v>
      </c>
      <c r="N10" s="20" t="s">
        <v>190</v>
      </c>
      <c r="O10" s="20"/>
      <c r="P10" s="20" t="s">
        <v>191</v>
      </c>
      <c r="Q10" s="20" t="s">
        <v>192</v>
      </c>
      <c r="R10" s="20" t="s">
        <v>193</v>
      </c>
      <c r="S10" s="20" t="s">
        <v>194</v>
      </c>
      <c r="T10" s="27" t="s">
        <v>195</v>
      </c>
      <c r="U10" s="90" t="s">
        <v>196</v>
      </c>
      <c r="V10" s="42" t="s">
        <v>197</v>
      </c>
      <c r="W10" s="18" t="e" vm="1">
        <v>#VALUE!</v>
      </c>
      <c r="X10" s="18" t="e" vm="2">
        <v>#VALUE!</v>
      </c>
      <c r="Y10" s="18" t="e" vm="3">
        <v>#VALUE!</v>
      </c>
    </row>
    <row r="11" spans="1:26" s="31" customFormat="1" ht="409.6" hidden="1" x14ac:dyDescent="0.2">
      <c r="A11" s="31" t="s">
        <v>181</v>
      </c>
      <c r="B11" s="32" t="s">
        <v>198</v>
      </c>
      <c r="C11" s="33">
        <v>2017</v>
      </c>
      <c r="D11" s="33" t="s">
        <v>165</v>
      </c>
      <c r="E11" s="33" t="s">
        <v>64</v>
      </c>
      <c r="F11" s="32" t="s">
        <v>199</v>
      </c>
      <c r="G11" s="23" t="s">
        <v>99</v>
      </c>
      <c r="H11" s="23" t="s">
        <v>200</v>
      </c>
      <c r="I11" s="23" t="s">
        <v>201</v>
      </c>
      <c r="J11" s="23" t="s">
        <v>202</v>
      </c>
      <c r="K11" s="23" t="s">
        <v>203</v>
      </c>
      <c r="L11" s="23" t="s">
        <v>204</v>
      </c>
      <c r="M11" s="23" t="s">
        <v>205</v>
      </c>
      <c r="N11" s="23" t="s">
        <v>206</v>
      </c>
      <c r="O11" s="23" t="s">
        <v>207</v>
      </c>
      <c r="P11" s="23" t="s">
        <v>208</v>
      </c>
      <c r="Q11" s="23"/>
      <c r="R11" s="23" t="s">
        <v>209</v>
      </c>
      <c r="S11" s="23" t="s">
        <v>210</v>
      </c>
      <c r="T11" s="41" t="s">
        <v>211</v>
      </c>
      <c r="U11" s="95"/>
      <c r="V11" s="23" t="s">
        <v>212</v>
      </c>
      <c r="W11" s="31" t="e" vm="4">
        <v>#VALUE!</v>
      </c>
      <c r="X11" s="31" t="e" vm="5">
        <v>#VALUE!</v>
      </c>
      <c r="Y11" s="31" t="e" vm="6">
        <v>#VALUE!</v>
      </c>
    </row>
    <row r="12" spans="1:26" ht="404" hidden="1" x14ac:dyDescent="0.2">
      <c r="A12" s="18" t="s">
        <v>181</v>
      </c>
      <c r="B12" s="27" t="s">
        <v>213</v>
      </c>
      <c r="C12" s="19">
        <v>2014</v>
      </c>
      <c r="D12" s="19" t="s">
        <v>214</v>
      </c>
      <c r="E12" s="19" t="s">
        <v>64</v>
      </c>
      <c r="F12" s="27" t="s">
        <v>215</v>
      </c>
      <c r="G12" s="20" t="s">
        <v>99</v>
      </c>
      <c r="H12" s="20" t="s">
        <v>216</v>
      </c>
      <c r="I12" s="20" t="s">
        <v>217</v>
      </c>
      <c r="J12" s="20" t="s">
        <v>218</v>
      </c>
      <c r="K12" s="20" t="s">
        <v>219</v>
      </c>
      <c r="L12" s="20" t="s">
        <v>220</v>
      </c>
      <c r="M12" s="20" t="s">
        <v>221</v>
      </c>
      <c r="N12" s="20" t="s">
        <v>222</v>
      </c>
      <c r="O12" s="20"/>
      <c r="P12" s="20" t="s">
        <v>223</v>
      </c>
      <c r="Q12" s="20"/>
      <c r="R12" s="20" t="s">
        <v>224</v>
      </c>
      <c r="S12" s="20" t="s">
        <v>225</v>
      </c>
      <c r="T12" s="46" t="s">
        <v>226</v>
      </c>
      <c r="U12" s="92"/>
      <c r="V12" s="20" t="s">
        <v>227</v>
      </c>
      <c r="Y12" s="18" t="e" vm="7">
        <v>#VALUE!</v>
      </c>
      <c r="Z12" s="18" t="e" vm="8">
        <v>#VALUE!</v>
      </c>
    </row>
    <row r="13" spans="1:26" s="31" customFormat="1" ht="136" hidden="1" x14ac:dyDescent="0.2">
      <c r="A13" s="31" t="s">
        <v>181</v>
      </c>
      <c r="B13" s="32" t="s">
        <v>228</v>
      </c>
      <c r="C13" s="33">
        <v>2021</v>
      </c>
      <c r="D13" s="33" t="s">
        <v>229</v>
      </c>
      <c r="E13" s="33" t="s">
        <v>230</v>
      </c>
      <c r="F13" s="32" t="s">
        <v>231</v>
      </c>
      <c r="G13" s="23" t="s">
        <v>99</v>
      </c>
      <c r="H13" s="23" t="s">
        <v>232</v>
      </c>
      <c r="I13" s="23"/>
      <c r="J13" s="23" t="s">
        <v>233</v>
      </c>
      <c r="K13" s="23" t="s">
        <v>234</v>
      </c>
      <c r="L13" s="23" t="s">
        <v>235</v>
      </c>
      <c r="M13" s="23" t="s">
        <v>236</v>
      </c>
      <c r="N13" s="23"/>
      <c r="O13" s="23"/>
      <c r="P13" s="23" t="s">
        <v>237</v>
      </c>
      <c r="Q13" s="23" t="s">
        <v>237</v>
      </c>
      <c r="R13" s="23" t="s">
        <v>238</v>
      </c>
      <c r="S13" s="23" t="s">
        <v>239</v>
      </c>
      <c r="T13" s="41" t="s">
        <v>240</v>
      </c>
      <c r="U13" s="95"/>
      <c r="V13" s="31" t="s">
        <v>241</v>
      </c>
    </row>
    <row r="14" spans="1:26" ht="409.6" hidden="1" x14ac:dyDescent="0.2">
      <c r="A14" s="18" t="s">
        <v>181</v>
      </c>
      <c r="B14" s="27" t="s">
        <v>242</v>
      </c>
      <c r="C14" s="19">
        <v>2019</v>
      </c>
      <c r="D14" s="19" t="s">
        <v>229</v>
      </c>
      <c r="E14" s="19" t="s">
        <v>64</v>
      </c>
      <c r="F14" s="27" t="s">
        <v>243</v>
      </c>
      <c r="G14" s="99" t="s">
        <v>99</v>
      </c>
      <c r="H14" s="20" t="s">
        <v>244</v>
      </c>
      <c r="I14" s="20" t="s">
        <v>201</v>
      </c>
      <c r="J14" s="99" t="s">
        <v>218</v>
      </c>
      <c r="K14" s="20" t="s">
        <v>245</v>
      </c>
      <c r="L14" s="20" t="s">
        <v>246</v>
      </c>
      <c r="M14" s="20" t="s">
        <v>247</v>
      </c>
      <c r="N14" s="43" t="s">
        <v>248</v>
      </c>
      <c r="O14" s="20"/>
      <c r="P14" s="20" t="s">
        <v>249</v>
      </c>
      <c r="Q14" s="20" t="s">
        <v>250</v>
      </c>
      <c r="R14" s="20" t="s">
        <v>251</v>
      </c>
      <c r="S14" s="20" t="s">
        <v>252</v>
      </c>
      <c r="T14" s="46" t="s">
        <v>253</v>
      </c>
      <c r="U14" s="92"/>
      <c r="V14" s="20" t="s">
        <v>254</v>
      </c>
      <c r="W14" s="18" t="e" vm="9">
        <v>#VALUE!</v>
      </c>
      <c r="X14" s="18" t="e" vm="10">
        <v>#VALUE!</v>
      </c>
    </row>
    <row r="15" spans="1:26" s="31" customFormat="1" ht="356" hidden="1" x14ac:dyDescent="0.2">
      <c r="A15" s="31" t="s">
        <v>181</v>
      </c>
      <c r="B15" s="32" t="s">
        <v>255</v>
      </c>
      <c r="C15" s="33">
        <v>2020</v>
      </c>
      <c r="D15" s="33" t="s">
        <v>256</v>
      </c>
      <c r="E15" s="33" t="s">
        <v>64</v>
      </c>
      <c r="F15" s="32" t="s">
        <v>257</v>
      </c>
      <c r="G15" s="23" t="s">
        <v>99</v>
      </c>
      <c r="H15" s="23" t="s">
        <v>258</v>
      </c>
      <c r="I15" s="23" t="s">
        <v>259</v>
      </c>
      <c r="J15" s="23" t="s">
        <v>260</v>
      </c>
      <c r="K15" s="23" t="s">
        <v>261</v>
      </c>
      <c r="L15" s="23" t="s">
        <v>262</v>
      </c>
      <c r="M15" s="23" t="s">
        <v>263</v>
      </c>
      <c r="N15" s="23" t="s">
        <v>264</v>
      </c>
      <c r="O15" s="23"/>
      <c r="P15" s="23" t="s">
        <v>237</v>
      </c>
      <c r="Q15" s="23" t="s">
        <v>237</v>
      </c>
      <c r="R15" s="23" t="s">
        <v>265</v>
      </c>
      <c r="S15" s="23" t="s">
        <v>266</v>
      </c>
      <c r="T15" s="41" t="s">
        <v>267</v>
      </c>
      <c r="U15" s="95"/>
      <c r="V15" s="23" t="s">
        <v>268</v>
      </c>
      <c r="W15" s="31" t="e" vm="11">
        <v>#VALUE!</v>
      </c>
      <c r="X15" s="31" t="e" vm="12">
        <v>#VALUE!</v>
      </c>
      <c r="Y15" s="31" t="e" vm="13">
        <v>#VALUE!</v>
      </c>
      <c r="Z15" s="31" t="e" vm="14">
        <v>#VALUE!</v>
      </c>
    </row>
    <row r="16" spans="1:26" s="20" customFormat="1" ht="306" hidden="1" x14ac:dyDescent="0.2">
      <c r="A16" s="20" t="s">
        <v>181</v>
      </c>
      <c r="B16" s="27" t="s">
        <v>269</v>
      </c>
      <c r="C16" s="48">
        <v>2014</v>
      </c>
      <c r="D16" s="48" t="s">
        <v>270</v>
      </c>
      <c r="E16" s="48" t="s">
        <v>64</v>
      </c>
      <c r="F16" s="27"/>
      <c r="G16" s="20" t="s">
        <v>99</v>
      </c>
      <c r="H16" s="20" t="s">
        <v>271</v>
      </c>
      <c r="I16" s="100" t="s">
        <v>272</v>
      </c>
      <c r="J16" s="20" t="s">
        <v>155</v>
      </c>
      <c r="K16" s="20" t="s">
        <v>273</v>
      </c>
      <c r="L16" s="20" t="s">
        <v>274</v>
      </c>
      <c r="S16" s="20" t="s">
        <v>275</v>
      </c>
      <c r="T16" s="27" t="s">
        <v>276</v>
      </c>
      <c r="U16" s="90" t="s">
        <v>277</v>
      </c>
      <c r="V16" s="20" t="s">
        <v>278</v>
      </c>
    </row>
    <row r="17" spans="1:24" s="31" customFormat="1" ht="340" hidden="1" x14ac:dyDescent="0.2">
      <c r="A17" s="31" t="s">
        <v>181</v>
      </c>
      <c r="B17" s="32" t="s">
        <v>279</v>
      </c>
      <c r="C17" s="33">
        <v>2018</v>
      </c>
      <c r="D17" s="33" t="s">
        <v>280</v>
      </c>
      <c r="E17" s="33" t="s">
        <v>281</v>
      </c>
      <c r="F17" s="32" t="s">
        <v>282</v>
      </c>
      <c r="G17" s="99" t="s">
        <v>283</v>
      </c>
      <c r="H17" s="23" t="s">
        <v>284</v>
      </c>
      <c r="I17" s="23"/>
      <c r="J17" s="23" t="s">
        <v>285</v>
      </c>
      <c r="K17" s="23" t="s">
        <v>286</v>
      </c>
      <c r="L17" s="23" t="s">
        <v>287</v>
      </c>
      <c r="M17" s="23" t="s">
        <v>288</v>
      </c>
      <c r="N17" s="23" t="s">
        <v>289</v>
      </c>
      <c r="O17" s="23"/>
      <c r="P17" s="23" t="s">
        <v>290</v>
      </c>
      <c r="Q17" s="23" t="s">
        <v>291</v>
      </c>
      <c r="R17" s="23" t="s">
        <v>292</v>
      </c>
      <c r="S17" s="23" t="s">
        <v>293</v>
      </c>
      <c r="T17" s="41" t="s">
        <v>294</v>
      </c>
      <c r="U17" s="96" t="s">
        <v>295</v>
      </c>
      <c r="V17" s="23" t="s">
        <v>296</v>
      </c>
    </row>
    <row r="18" spans="1:24" ht="51" x14ac:dyDescent="0.2">
      <c r="A18" s="18" t="s">
        <v>42</v>
      </c>
      <c r="B18" s="20" t="s">
        <v>297</v>
      </c>
      <c r="C18" s="20">
        <v>2024</v>
      </c>
      <c r="D18" s="20" t="s">
        <v>298</v>
      </c>
      <c r="E18" s="20"/>
      <c r="F18" s="20"/>
      <c r="G18" s="20"/>
      <c r="H18" s="20"/>
      <c r="I18" s="20"/>
      <c r="J18" s="20"/>
      <c r="K18" s="20"/>
      <c r="L18" s="20"/>
      <c r="M18" s="20"/>
      <c r="N18" s="20"/>
      <c r="O18" s="20"/>
      <c r="P18" s="20"/>
      <c r="Q18" s="20"/>
      <c r="R18" s="20"/>
      <c r="S18" s="20"/>
      <c r="U18" s="92"/>
    </row>
    <row r="19" spans="1:24" ht="409.6" hidden="1" x14ac:dyDescent="0.2">
      <c r="A19" s="18" t="s">
        <v>181</v>
      </c>
      <c r="B19" s="20" t="s">
        <v>299</v>
      </c>
      <c r="C19" s="20">
        <v>2020</v>
      </c>
      <c r="D19" s="20" t="s">
        <v>300</v>
      </c>
      <c r="E19" s="20" t="s">
        <v>64</v>
      </c>
      <c r="F19" s="20" t="s">
        <v>309</v>
      </c>
      <c r="G19" s="20" t="s">
        <v>303</v>
      </c>
      <c r="H19" s="20" t="s">
        <v>308</v>
      </c>
      <c r="I19" s="20" t="s">
        <v>311</v>
      </c>
      <c r="J19" s="20" t="s">
        <v>307</v>
      </c>
      <c r="K19" s="20" t="s">
        <v>310</v>
      </c>
      <c r="L19" s="20" t="s">
        <v>302</v>
      </c>
      <c r="M19" s="20" t="s">
        <v>313</v>
      </c>
      <c r="N19" s="43" t="s">
        <v>312</v>
      </c>
      <c r="O19" s="20"/>
      <c r="P19" s="20" t="s">
        <v>315</v>
      </c>
      <c r="Q19" s="20" t="s">
        <v>314</v>
      </c>
      <c r="R19" s="20" t="s">
        <v>305</v>
      </c>
      <c r="S19" s="20" t="s">
        <v>306</v>
      </c>
      <c r="T19" s="46" t="s">
        <v>301</v>
      </c>
      <c r="U19" s="92"/>
      <c r="V19" s="20" t="s">
        <v>304</v>
      </c>
      <c r="W19" s="18" t="e" vm="15">
        <v>#VALUE!</v>
      </c>
      <c r="X19" s="18" t="e" vm="16">
        <v>#VALUE!</v>
      </c>
    </row>
    <row r="20" spans="1:24" x14ac:dyDescent="0.2">
      <c r="C20" s="20"/>
      <c r="D20" s="20"/>
      <c r="E20" s="20"/>
      <c r="F20" s="20"/>
      <c r="G20" s="20"/>
      <c r="H20" s="20"/>
      <c r="I20" s="20"/>
      <c r="J20" s="20"/>
      <c r="K20" s="20"/>
      <c r="L20" s="20"/>
      <c r="M20" s="20"/>
      <c r="N20" s="20"/>
      <c r="O20" s="20"/>
      <c r="P20" s="20"/>
      <c r="Q20" s="20"/>
      <c r="R20" s="20"/>
      <c r="S20" s="20"/>
    </row>
    <row r="21" spans="1:24" x14ac:dyDescent="0.2">
      <c r="C21" s="20"/>
      <c r="D21" s="20"/>
      <c r="E21" s="20"/>
      <c r="F21" s="20"/>
      <c r="G21" s="20"/>
      <c r="H21" s="20"/>
      <c r="I21" s="20"/>
      <c r="J21" s="20"/>
      <c r="K21" s="20"/>
      <c r="L21" s="20"/>
      <c r="M21" s="20"/>
      <c r="N21" s="20"/>
      <c r="O21" s="20"/>
      <c r="P21" s="20"/>
      <c r="Q21" s="20"/>
      <c r="R21" s="20"/>
      <c r="S21" s="20"/>
    </row>
    <row r="22" spans="1:24" x14ac:dyDescent="0.2">
      <c r="C22" s="20"/>
      <c r="D22" s="20"/>
      <c r="E22" s="20"/>
      <c r="F22" s="20"/>
      <c r="G22" s="20"/>
      <c r="H22" s="20"/>
      <c r="I22" s="20"/>
      <c r="J22" s="20"/>
      <c r="K22" s="20"/>
      <c r="L22" s="20"/>
      <c r="M22" s="20"/>
      <c r="N22" s="20"/>
      <c r="O22" s="20"/>
      <c r="P22" s="20"/>
      <c r="Q22" s="20"/>
      <c r="R22" s="20"/>
      <c r="S22" s="20"/>
    </row>
    <row r="23" spans="1:24" x14ac:dyDescent="0.2">
      <c r="C23" s="20"/>
      <c r="D23" s="20"/>
      <c r="E23" s="20"/>
      <c r="F23" s="20"/>
      <c r="G23" s="20"/>
      <c r="H23" s="20"/>
      <c r="I23" s="20"/>
      <c r="J23" s="20"/>
      <c r="K23" s="20"/>
      <c r="L23" s="20"/>
      <c r="M23" s="20"/>
      <c r="N23" s="20"/>
      <c r="O23" s="20"/>
      <c r="P23" s="20"/>
      <c r="Q23" s="20"/>
      <c r="R23" s="20"/>
      <c r="S23" s="20"/>
    </row>
    <row r="24" spans="1:24" x14ac:dyDescent="0.2">
      <c r="C24" s="20"/>
      <c r="D24" s="20"/>
      <c r="E24" s="20"/>
      <c r="F24" s="20"/>
      <c r="G24" s="20"/>
      <c r="H24" s="20"/>
      <c r="I24" s="20"/>
      <c r="J24" s="20"/>
      <c r="K24" s="20"/>
      <c r="L24" s="20"/>
      <c r="M24" s="20"/>
      <c r="N24" s="20"/>
      <c r="O24" s="20"/>
      <c r="P24" s="20"/>
      <c r="Q24" s="20"/>
      <c r="R24" s="20"/>
      <c r="S24" s="20"/>
    </row>
    <row r="25" spans="1:24" x14ac:dyDescent="0.2">
      <c r="C25" s="20"/>
      <c r="D25" s="20"/>
      <c r="E25" s="20"/>
      <c r="F25" s="20"/>
      <c r="G25" s="20"/>
      <c r="H25" s="20"/>
      <c r="I25" s="20"/>
      <c r="J25" s="20"/>
      <c r="K25" s="20"/>
      <c r="L25" s="20"/>
      <c r="M25" s="20"/>
      <c r="N25" s="20"/>
      <c r="O25" s="20"/>
      <c r="P25" s="20"/>
      <c r="Q25" s="20"/>
      <c r="R25" s="20"/>
      <c r="S25" s="20"/>
    </row>
    <row r="26" spans="1:24" x14ac:dyDescent="0.2">
      <c r="C26" s="20"/>
      <c r="D26" s="20"/>
      <c r="E26" s="20"/>
      <c r="F26" s="20"/>
      <c r="G26" s="20"/>
      <c r="H26" s="20"/>
      <c r="I26" s="20"/>
      <c r="J26" s="20"/>
      <c r="K26" s="20"/>
      <c r="L26" s="20"/>
      <c r="M26" s="20"/>
      <c r="N26" s="20"/>
      <c r="O26" s="20"/>
      <c r="P26" s="20"/>
      <c r="Q26" s="20"/>
      <c r="R26" s="20"/>
      <c r="S26" s="20"/>
    </row>
    <row r="27" spans="1:24" x14ac:dyDescent="0.2">
      <c r="C27" s="20"/>
      <c r="D27" s="20"/>
      <c r="E27" s="20"/>
      <c r="F27" s="20"/>
      <c r="G27" s="20"/>
      <c r="H27" s="573"/>
      <c r="I27" s="574"/>
      <c r="J27" s="44"/>
      <c r="K27" s="44"/>
      <c r="L27" s="20"/>
      <c r="M27" s="20"/>
      <c r="N27" s="20"/>
      <c r="O27" s="20"/>
      <c r="P27" s="20"/>
      <c r="Q27" s="20"/>
      <c r="R27" s="20"/>
      <c r="S27" s="20"/>
    </row>
    <row r="28" spans="1:24" x14ac:dyDescent="0.2">
      <c r="C28" s="20"/>
      <c r="D28" s="20"/>
      <c r="E28" s="20"/>
      <c r="F28" s="20"/>
      <c r="G28" s="20"/>
      <c r="H28" s="573"/>
      <c r="I28" s="574"/>
      <c r="J28" s="44"/>
      <c r="K28" s="44"/>
      <c r="L28" s="20"/>
      <c r="M28" s="20"/>
      <c r="N28" s="20"/>
      <c r="O28" s="20"/>
      <c r="P28" s="20"/>
      <c r="Q28" s="20"/>
      <c r="R28" s="45"/>
      <c r="S28" s="45"/>
    </row>
    <row r="29" spans="1:24" x14ac:dyDescent="0.2">
      <c r="C29" s="20"/>
      <c r="D29" s="20"/>
      <c r="E29" s="20"/>
      <c r="F29" s="20"/>
      <c r="G29" s="20"/>
      <c r="H29" s="573"/>
      <c r="I29" s="574"/>
      <c r="J29" s="20"/>
      <c r="K29" s="44"/>
      <c r="L29" s="20"/>
      <c r="M29" s="20"/>
      <c r="N29" s="20"/>
      <c r="O29" s="20"/>
      <c r="P29" s="20"/>
      <c r="Q29" s="20"/>
      <c r="R29" s="20"/>
      <c r="S29" s="20"/>
    </row>
    <row r="30" spans="1:24" x14ac:dyDescent="0.2">
      <c r="C30" s="20"/>
      <c r="D30" s="20"/>
      <c r="E30" s="20"/>
      <c r="F30" s="20"/>
      <c r="G30" s="20"/>
      <c r="H30" s="573"/>
      <c r="I30" s="574"/>
      <c r="J30" s="20"/>
      <c r="K30" s="44"/>
      <c r="L30" s="20"/>
      <c r="M30" s="20"/>
      <c r="N30" s="20"/>
      <c r="O30" s="20"/>
      <c r="P30" s="20"/>
      <c r="Q30" s="20"/>
      <c r="R30" s="20"/>
      <c r="S30" s="20"/>
    </row>
    <row r="31" spans="1:24" x14ac:dyDescent="0.2">
      <c r="C31" s="20"/>
      <c r="D31" s="20"/>
      <c r="E31" s="20"/>
      <c r="F31" s="20"/>
      <c r="G31" s="20"/>
      <c r="H31" s="573"/>
      <c r="I31" s="574"/>
      <c r="J31" s="20"/>
      <c r="K31" s="20"/>
      <c r="L31" s="20"/>
      <c r="M31" s="20"/>
      <c r="N31" s="20"/>
      <c r="O31" s="20"/>
      <c r="P31" s="20"/>
      <c r="Q31" s="20"/>
      <c r="R31" s="20"/>
      <c r="S31" s="20"/>
    </row>
    <row r="32" spans="1:24" x14ac:dyDescent="0.2">
      <c r="C32" s="20"/>
      <c r="D32" s="20"/>
      <c r="E32" s="20"/>
      <c r="F32" s="20"/>
      <c r="G32" s="20"/>
      <c r="H32" s="573"/>
      <c r="I32" s="574"/>
      <c r="J32" s="20"/>
      <c r="K32" s="20"/>
      <c r="L32" s="20"/>
      <c r="M32" s="20"/>
      <c r="N32" s="20"/>
      <c r="O32" s="20"/>
      <c r="P32" s="20"/>
      <c r="Q32" s="20"/>
      <c r="R32" s="45"/>
      <c r="S32" s="45"/>
    </row>
    <row r="33" spans="3:19" x14ac:dyDescent="0.2">
      <c r="C33" s="20"/>
      <c r="D33" s="20"/>
      <c r="E33" s="20"/>
      <c r="F33" s="20"/>
      <c r="G33" s="20"/>
      <c r="H33" s="573"/>
      <c r="I33" s="574"/>
      <c r="J33" s="20"/>
      <c r="K33" s="20"/>
      <c r="L33" s="20"/>
      <c r="M33" s="20"/>
      <c r="N33" s="20"/>
      <c r="O33" s="20"/>
      <c r="P33" s="20"/>
      <c r="Q33" s="20"/>
      <c r="R33" s="20"/>
      <c r="S33" s="20"/>
    </row>
    <row r="34" spans="3:19" x14ac:dyDescent="0.2">
      <c r="C34" s="20"/>
      <c r="D34" s="20"/>
      <c r="E34" s="20"/>
      <c r="F34" s="20"/>
      <c r="G34" s="20"/>
      <c r="H34" s="573"/>
      <c r="I34" s="574"/>
      <c r="J34" s="20"/>
      <c r="K34" s="20"/>
      <c r="L34" s="20"/>
      <c r="M34" s="20"/>
      <c r="N34" s="20"/>
      <c r="O34" s="20"/>
      <c r="P34" s="20"/>
      <c r="Q34" s="20"/>
      <c r="R34" s="20"/>
      <c r="S34" s="20"/>
    </row>
    <row r="35" spans="3:19" x14ac:dyDescent="0.2">
      <c r="C35" s="20"/>
      <c r="D35" s="20"/>
      <c r="E35" s="20"/>
      <c r="F35" s="20"/>
      <c r="G35" s="20"/>
      <c r="H35" s="573"/>
      <c r="I35" s="574"/>
      <c r="J35" s="20"/>
      <c r="K35" s="20"/>
      <c r="L35" s="20"/>
      <c r="M35" s="20"/>
      <c r="N35" s="20"/>
      <c r="O35" s="20"/>
      <c r="P35" s="20"/>
      <c r="Q35" s="20"/>
      <c r="R35" s="20"/>
      <c r="S35" s="20"/>
    </row>
    <row r="36" spans="3:19" x14ac:dyDescent="0.2">
      <c r="C36" s="20"/>
      <c r="D36" s="20"/>
      <c r="E36" s="20"/>
      <c r="F36" s="20"/>
      <c r="G36" s="20"/>
      <c r="H36" s="573"/>
      <c r="I36" s="574"/>
      <c r="J36" s="20"/>
      <c r="K36" s="20"/>
      <c r="L36" s="20"/>
      <c r="M36" s="20"/>
      <c r="N36" s="20"/>
      <c r="O36" s="20"/>
      <c r="P36" s="20"/>
      <c r="Q36" s="20"/>
      <c r="R36" s="20"/>
      <c r="S36" s="20"/>
    </row>
    <row r="37" spans="3:19" x14ac:dyDescent="0.2">
      <c r="C37" s="20"/>
      <c r="D37" s="20"/>
      <c r="E37" s="20"/>
      <c r="F37" s="20"/>
      <c r="G37" s="20"/>
      <c r="H37" s="573"/>
      <c r="I37" s="574"/>
      <c r="J37" s="20"/>
      <c r="K37" s="20"/>
      <c r="L37" s="20"/>
      <c r="M37" s="20"/>
      <c r="N37" s="20"/>
      <c r="O37" s="20"/>
      <c r="P37" s="20"/>
      <c r="Q37" s="20"/>
      <c r="R37" s="45"/>
      <c r="S37" s="45"/>
    </row>
    <row r="38" spans="3:19" x14ac:dyDescent="0.2">
      <c r="C38" s="20"/>
      <c r="D38" s="20"/>
      <c r="E38" s="20"/>
      <c r="F38" s="20"/>
      <c r="G38" s="20"/>
      <c r="H38" s="573"/>
      <c r="I38" s="574"/>
      <c r="J38" s="20"/>
      <c r="K38" s="20"/>
      <c r="L38" s="20"/>
      <c r="M38" s="20"/>
      <c r="N38" s="20"/>
      <c r="O38" s="20"/>
      <c r="P38" s="20"/>
      <c r="Q38" s="20"/>
      <c r="R38" s="20"/>
      <c r="S38" s="20"/>
    </row>
    <row r="39" spans="3:19" x14ac:dyDescent="0.2">
      <c r="C39" s="20"/>
      <c r="D39" s="20"/>
      <c r="E39" s="20"/>
      <c r="F39" s="20"/>
      <c r="G39" s="20"/>
      <c r="H39" s="573"/>
      <c r="I39" s="574"/>
      <c r="J39" s="20"/>
      <c r="K39" s="20"/>
      <c r="L39" s="20"/>
      <c r="M39" s="20"/>
      <c r="N39" s="20"/>
      <c r="O39" s="20"/>
      <c r="P39" s="20"/>
      <c r="Q39" s="20"/>
      <c r="R39" s="20"/>
      <c r="S39" s="20"/>
    </row>
    <row r="40" spans="3:19" x14ac:dyDescent="0.2">
      <c r="C40" s="20"/>
      <c r="D40" s="20"/>
      <c r="E40" s="20"/>
      <c r="F40" s="20"/>
      <c r="G40" s="20"/>
      <c r="H40" s="573"/>
      <c r="I40" s="574"/>
      <c r="J40" s="20"/>
      <c r="K40" s="20"/>
      <c r="L40" s="20"/>
      <c r="M40" s="20"/>
      <c r="N40" s="20"/>
      <c r="O40" s="20"/>
      <c r="P40" s="20"/>
      <c r="Q40" s="20"/>
      <c r="R40" s="45"/>
      <c r="S40" s="45"/>
    </row>
    <row r="41" spans="3:19" x14ac:dyDescent="0.2">
      <c r="C41" s="20"/>
      <c r="D41" s="20"/>
      <c r="E41" s="20"/>
      <c r="F41" s="20"/>
      <c r="G41" s="20"/>
      <c r="H41" s="573"/>
      <c r="I41" s="574"/>
      <c r="J41" s="20"/>
      <c r="K41" s="20"/>
      <c r="L41" s="20"/>
      <c r="M41" s="20"/>
      <c r="N41" s="20"/>
      <c r="O41" s="20"/>
      <c r="P41" s="20"/>
      <c r="Q41" s="20"/>
      <c r="R41" s="20"/>
      <c r="S41" s="20"/>
    </row>
    <row r="42" spans="3:19" x14ac:dyDescent="0.2">
      <c r="C42" s="20"/>
      <c r="D42" s="20"/>
      <c r="E42" s="20"/>
      <c r="F42" s="20"/>
      <c r="G42" s="20"/>
      <c r="H42" s="573"/>
      <c r="I42" s="574"/>
      <c r="J42" s="20"/>
      <c r="K42" s="20"/>
      <c r="L42" s="20"/>
      <c r="M42" s="20"/>
      <c r="N42" s="20"/>
      <c r="O42" s="20"/>
      <c r="P42" s="20"/>
      <c r="Q42" s="20"/>
      <c r="R42" s="20"/>
      <c r="S42" s="20"/>
    </row>
    <row r="43" spans="3:19" x14ac:dyDescent="0.2">
      <c r="C43" s="20"/>
      <c r="D43" s="20"/>
      <c r="E43" s="20"/>
      <c r="F43" s="20"/>
      <c r="G43" s="20"/>
      <c r="H43" s="573"/>
      <c r="I43" s="574"/>
      <c r="J43" s="20"/>
      <c r="K43" s="20"/>
      <c r="L43" s="20"/>
      <c r="M43" s="20"/>
      <c r="N43" s="20"/>
      <c r="O43" s="20"/>
      <c r="P43" s="20"/>
      <c r="Q43" s="20"/>
      <c r="R43" s="20"/>
      <c r="S43" s="20"/>
    </row>
    <row r="44" spans="3:19" x14ac:dyDescent="0.2">
      <c r="C44" s="20"/>
      <c r="D44" s="20"/>
      <c r="E44" s="20"/>
      <c r="F44" s="20"/>
      <c r="G44" s="20"/>
      <c r="H44" s="573"/>
      <c r="I44" s="574"/>
      <c r="J44" s="20"/>
      <c r="K44" s="20"/>
      <c r="L44" s="20"/>
      <c r="M44" s="20"/>
      <c r="N44" s="20"/>
      <c r="O44" s="20"/>
      <c r="P44" s="20"/>
      <c r="Q44" s="20"/>
      <c r="R44" s="20"/>
      <c r="S44" s="20"/>
    </row>
    <row r="45" spans="3:19" x14ac:dyDescent="0.2">
      <c r="C45" s="20"/>
      <c r="D45" s="20"/>
      <c r="E45" s="20"/>
      <c r="F45" s="20"/>
      <c r="G45" s="20"/>
      <c r="H45" s="573"/>
      <c r="I45" s="574"/>
      <c r="J45" s="20"/>
      <c r="K45" s="20"/>
      <c r="L45" s="20"/>
      <c r="M45" s="20"/>
      <c r="N45" s="20"/>
      <c r="O45" s="20"/>
      <c r="P45" s="20"/>
      <c r="Q45" s="20"/>
      <c r="R45" s="20"/>
      <c r="S45" s="20"/>
    </row>
    <row r="46" spans="3:19" x14ac:dyDescent="0.2">
      <c r="C46" s="20"/>
      <c r="D46" s="20"/>
      <c r="E46" s="20"/>
      <c r="F46" s="20"/>
      <c r="G46" s="20"/>
      <c r="H46" s="573"/>
      <c r="I46" s="574"/>
      <c r="J46" s="20"/>
      <c r="K46" s="20"/>
      <c r="L46" s="20"/>
      <c r="M46" s="20"/>
      <c r="N46" s="20"/>
      <c r="O46" s="20"/>
      <c r="P46" s="20"/>
      <c r="Q46" s="20"/>
      <c r="R46" s="20"/>
      <c r="S46" s="20"/>
    </row>
    <row r="47" spans="3:19" x14ac:dyDescent="0.2">
      <c r="C47" s="20"/>
      <c r="D47" s="20"/>
      <c r="E47" s="20"/>
      <c r="F47" s="20"/>
      <c r="G47" s="20"/>
      <c r="H47" s="573"/>
      <c r="I47" s="574"/>
      <c r="J47" s="20"/>
      <c r="K47" s="20"/>
      <c r="L47" s="20"/>
      <c r="M47" s="20"/>
      <c r="N47" s="20"/>
      <c r="O47" s="20"/>
      <c r="P47" s="20"/>
      <c r="Q47" s="20"/>
      <c r="R47" s="20"/>
      <c r="S47" s="20"/>
    </row>
    <row r="48" spans="3:19" x14ac:dyDescent="0.2">
      <c r="C48" s="20"/>
      <c r="D48" s="20"/>
      <c r="E48" s="20"/>
      <c r="F48" s="20"/>
      <c r="G48" s="20"/>
      <c r="H48" s="573"/>
      <c r="I48" s="574"/>
      <c r="J48" s="20"/>
      <c r="K48" s="20"/>
      <c r="L48" s="20"/>
      <c r="M48" s="20"/>
      <c r="N48" s="20"/>
      <c r="O48" s="20"/>
      <c r="P48" s="20"/>
      <c r="Q48" s="20"/>
      <c r="R48" s="20"/>
      <c r="S48" s="20"/>
    </row>
    <row r="49" spans="3:19" x14ac:dyDescent="0.2">
      <c r="C49" s="20"/>
      <c r="D49" s="20"/>
      <c r="E49" s="20"/>
      <c r="F49" s="20"/>
      <c r="G49" s="20"/>
      <c r="H49" s="573"/>
      <c r="I49" s="574"/>
      <c r="J49" s="20"/>
      <c r="K49" s="20"/>
      <c r="L49" s="20"/>
      <c r="M49" s="20"/>
      <c r="N49" s="20"/>
      <c r="O49" s="20"/>
      <c r="P49" s="20"/>
      <c r="Q49" s="20"/>
      <c r="R49" s="20"/>
      <c r="S49" s="20"/>
    </row>
    <row r="50" spans="3:19" x14ac:dyDescent="0.2">
      <c r="C50" s="20"/>
      <c r="D50" s="20"/>
      <c r="E50" s="20"/>
      <c r="F50" s="20"/>
      <c r="G50" s="20"/>
      <c r="H50" s="573"/>
      <c r="I50" s="574"/>
      <c r="J50" s="20"/>
      <c r="K50" s="20"/>
      <c r="L50" s="20"/>
      <c r="M50" s="20"/>
      <c r="N50" s="20"/>
      <c r="O50" s="20"/>
      <c r="P50" s="20"/>
      <c r="Q50" s="20"/>
      <c r="R50" s="20"/>
      <c r="S50" s="20"/>
    </row>
    <row r="51" spans="3:19" x14ac:dyDescent="0.2">
      <c r="C51" s="20"/>
      <c r="D51" s="20"/>
      <c r="E51" s="20"/>
      <c r="F51" s="20"/>
      <c r="G51" s="20"/>
      <c r="H51" s="573"/>
      <c r="I51" s="574"/>
      <c r="J51" s="20"/>
      <c r="K51" s="20"/>
      <c r="L51" s="20"/>
      <c r="M51" s="20"/>
      <c r="N51" s="20"/>
      <c r="O51" s="20"/>
      <c r="P51" s="20"/>
      <c r="Q51" s="20"/>
      <c r="R51" s="20"/>
      <c r="S51" s="20"/>
    </row>
    <row r="52" spans="3:19" x14ac:dyDescent="0.2">
      <c r="C52" s="20"/>
      <c r="D52" s="20"/>
      <c r="E52" s="20"/>
      <c r="F52" s="20"/>
      <c r="G52" s="20"/>
      <c r="H52" s="573"/>
      <c r="I52" s="574"/>
      <c r="J52" s="20"/>
      <c r="K52" s="20"/>
      <c r="L52" s="20"/>
      <c r="M52" s="20"/>
      <c r="N52" s="20"/>
      <c r="O52" s="20"/>
      <c r="P52" s="20"/>
      <c r="Q52" s="20"/>
      <c r="R52" s="20"/>
      <c r="S52" s="20"/>
    </row>
    <row r="53" spans="3:19" x14ac:dyDescent="0.2">
      <c r="C53" s="20"/>
      <c r="D53" s="20"/>
      <c r="E53" s="20"/>
      <c r="F53" s="20"/>
      <c r="G53" s="20"/>
      <c r="H53" s="573"/>
      <c r="I53" s="574"/>
      <c r="J53" s="20"/>
      <c r="K53" s="20"/>
      <c r="L53" s="20"/>
      <c r="M53" s="20"/>
      <c r="N53" s="20"/>
      <c r="O53" s="20"/>
      <c r="P53" s="20"/>
      <c r="Q53" s="20"/>
      <c r="R53" s="20"/>
      <c r="S53" s="20"/>
    </row>
    <row r="54" spans="3:19" x14ac:dyDescent="0.2">
      <c r="C54" s="20"/>
      <c r="D54" s="20"/>
      <c r="E54" s="20"/>
      <c r="F54" s="20"/>
      <c r="G54" s="20"/>
      <c r="H54" s="573"/>
      <c r="I54" s="574"/>
      <c r="J54" s="20"/>
      <c r="K54" s="20"/>
      <c r="L54" s="20"/>
      <c r="M54" s="20"/>
      <c r="N54" s="20"/>
      <c r="O54" s="20"/>
      <c r="P54" s="20"/>
      <c r="Q54" s="20"/>
      <c r="R54" s="20"/>
      <c r="S54" s="20"/>
    </row>
    <row r="55" spans="3:19" x14ac:dyDescent="0.2">
      <c r="C55" s="20"/>
      <c r="D55" s="20"/>
      <c r="E55" s="20"/>
      <c r="F55" s="20"/>
      <c r="G55" s="20"/>
      <c r="H55" s="573"/>
      <c r="I55" s="574"/>
      <c r="J55" s="20"/>
      <c r="K55" s="20"/>
      <c r="L55" s="20"/>
      <c r="M55" s="20"/>
      <c r="N55" s="20"/>
      <c r="O55" s="20"/>
      <c r="P55" s="20"/>
      <c r="Q55" s="20"/>
      <c r="R55" s="20"/>
      <c r="S55" s="20"/>
    </row>
    <row r="56" spans="3:19" x14ac:dyDescent="0.2">
      <c r="C56" s="20"/>
      <c r="D56" s="20"/>
      <c r="E56" s="20"/>
      <c r="F56" s="20"/>
      <c r="G56" s="20"/>
      <c r="H56" s="573"/>
      <c r="I56" s="574"/>
      <c r="J56" s="20"/>
      <c r="K56" s="20"/>
      <c r="L56" s="20"/>
      <c r="M56" s="20"/>
      <c r="N56" s="20"/>
      <c r="O56" s="20"/>
      <c r="P56" s="20"/>
      <c r="Q56" s="20"/>
      <c r="R56" s="20"/>
      <c r="S56" s="20"/>
    </row>
    <row r="57" spans="3:19" x14ac:dyDescent="0.2">
      <c r="C57" s="20"/>
      <c r="D57" s="20"/>
      <c r="E57" s="20"/>
      <c r="F57" s="20"/>
      <c r="G57" s="20"/>
      <c r="H57" s="573"/>
      <c r="I57" s="574"/>
      <c r="J57" s="20"/>
      <c r="K57" s="20"/>
      <c r="L57" s="20"/>
      <c r="M57" s="20"/>
      <c r="N57" s="20"/>
      <c r="O57" s="20"/>
      <c r="P57" s="20"/>
      <c r="Q57" s="20"/>
      <c r="R57" s="20"/>
      <c r="S57" s="20"/>
    </row>
  </sheetData>
  <autoFilter ref="A1:Z19" xr:uid="{00000000-0001-0000-0000-000000000000}">
    <filterColumn colId="0">
      <filters>
        <filter val="Ali"/>
      </filters>
    </filterColumn>
  </autoFilter>
  <mergeCells count="2">
    <mergeCell ref="H27:H57"/>
    <mergeCell ref="I27:I57"/>
  </mergeCells>
  <phoneticPr fontId="4" type="noConversion"/>
  <hyperlinks>
    <hyperlink ref="T2" r:id="rId1" tooltip="Persistent link using digital object identifier" xr:uid="{D2ADD032-8B99-4291-9431-C748A192306E}"/>
    <hyperlink ref="T5" r:id="rId2" xr:uid="{B2CF0EA5-C870-4737-A791-FE3976B4F5E0}"/>
    <hyperlink ref="T6" r:id="rId3" display="https://www.nature.com/articles/s41397-019-0069-1" xr:uid="{ECA8AA9B-83CF-4E14-AF8C-E5BCA72FADE3}"/>
    <hyperlink ref="T3" r:id="rId4" display="https://doi.org/10.2217/pgs-2017-0075" xr:uid="{F07C6B5A-85AE-4D28-A04D-4A7BC94F2B83}"/>
    <hyperlink ref="T4" r:id="rId5" display="https://ovidsp.ovid.com/ovidweb.cgi?T=JS&amp;CSC=Y&amp;NEWS=N&amp;PAGE=fulltext&amp;D=med21&amp;DO=10.1007%2fs40256-021-00496-4" xr:uid="{69096201-44A7-459D-8CE2-F565E58D83D4}"/>
    <hyperlink ref="T7" r:id="rId6" xr:uid="{49ADD25F-01F2-4AA3-9A51-F6F529DB23C4}"/>
    <hyperlink ref="T8" r:id="rId7" display="https://doi.org/10.1016/j.jval.2019.05.015" xr:uid="{832F816F-D62D-4FC5-9B69-89846FA1C86A}"/>
    <hyperlink ref="T19" r:id="rId8" xr:uid="{579F7097-A235-46DF-B73B-DC6C3B870EA4}"/>
    <hyperlink ref="T15" r:id="rId9" xr:uid="{9A9E2EFF-034B-4FB7-A802-CFFB3F24E0FD}"/>
    <hyperlink ref="T11" r:id="rId10" xr:uid="{2EDCA34B-0F72-4206-AECC-4AE539307E26}"/>
    <hyperlink ref="T12" r:id="rId11" xr:uid="{4969C530-9F3C-424F-98B9-A1877CC5CCA5}"/>
    <hyperlink ref="T13" r:id="rId12" xr:uid="{833D2812-9A1A-4985-85B2-B7602BAB56F8}"/>
    <hyperlink ref="T14" r:id="rId13" xr:uid="{DC5A48FA-EB39-48DD-85F0-3E5A2C1BC7D0}"/>
    <hyperlink ref="T17" r:id="rId14" xr:uid="{2F1DF5FC-3272-45E9-94A5-8C49EB316C2D}"/>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1672E-F3BB-4815-891B-E4333BEAE9C9}">
  <sheetPr codeName="Sheet10"/>
  <dimension ref="D1:Y134"/>
  <sheetViews>
    <sheetView showGridLines="0" zoomScale="85" zoomScaleNormal="85" workbookViewId="0">
      <selection activeCell="W18" sqref="W18"/>
    </sheetView>
  </sheetViews>
  <sheetFormatPr baseColWidth="10" defaultColWidth="8.83203125" defaultRowHeight="15" x14ac:dyDescent="0.2"/>
  <cols>
    <col min="4" max="6" width="8.83203125" style="47"/>
    <col min="7" max="7" width="2.1640625" customWidth="1"/>
    <col min="8" max="8" width="8.83203125" style="83" customWidth="1"/>
    <col min="9" max="9" width="8.83203125" style="83"/>
    <col min="10" max="10" width="2.5" customWidth="1"/>
    <col min="11" max="13" width="8.83203125" style="84"/>
    <col min="14" max="14" width="2.1640625" customWidth="1"/>
    <col min="15" max="20" width="8.83203125" style="86"/>
    <col min="21" max="21" width="2.1640625" customWidth="1"/>
  </cols>
  <sheetData>
    <row r="1" spans="4:25" x14ac:dyDescent="0.2">
      <c r="D1"/>
      <c r="E1"/>
      <c r="F1"/>
      <c r="H1"/>
      <c r="I1"/>
      <c r="K1"/>
      <c r="L1"/>
      <c r="M1"/>
      <c r="O1"/>
      <c r="P1"/>
      <c r="Q1"/>
      <c r="R1"/>
      <c r="S1"/>
      <c r="T1"/>
    </row>
    <row r="2" spans="4:25" x14ac:dyDescent="0.2">
      <c r="V2" s="627" t="s">
        <v>476</v>
      </c>
      <c r="W2" s="627"/>
      <c r="X2" s="627"/>
      <c r="Y2" s="627"/>
    </row>
    <row r="3" spans="4:25" ht="21" x14ac:dyDescent="0.25">
      <c r="D3" s="633" t="s">
        <v>473</v>
      </c>
      <c r="E3" s="633"/>
      <c r="F3" s="633"/>
      <c r="G3" s="85"/>
      <c r="H3" s="631" t="s">
        <v>471</v>
      </c>
      <c r="I3" s="631"/>
      <c r="J3" s="85"/>
      <c r="K3" s="634" t="s">
        <v>472</v>
      </c>
      <c r="L3" s="634"/>
      <c r="M3" s="634"/>
      <c r="O3" s="629" t="s">
        <v>474</v>
      </c>
      <c r="P3" s="629"/>
      <c r="Q3" s="629"/>
      <c r="R3" s="629"/>
      <c r="S3" s="629"/>
      <c r="T3" s="629"/>
      <c r="V3" s="86"/>
      <c r="W3" s="86"/>
      <c r="X3" s="86"/>
      <c r="Y3" s="86"/>
    </row>
    <row r="4" spans="4:25" x14ac:dyDescent="0.2">
      <c r="D4" s="82"/>
      <c r="K4" s="632"/>
      <c r="L4" s="632"/>
      <c r="M4" s="632"/>
      <c r="V4" s="86"/>
      <c r="W4" s="86"/>
      <c r="X4" s="86"/>
      <c r="Y4" s="86"/>
    </row>
    <row r="5" spans="4:25" x14ac:dyDescent="0.2">
      <c r="D5" s="82"/>
      <c r="V5" s="86"/>
      <c r="W5" s="86"/>
      <c r="X5" s="86"/>
      <c r="Y5" s="86"/>
    </row>
    <row r="6" spans="4:25" x14ac:dyDescent="0.2">
      <c r="D6" s="82"/>
      <c r="V6" s="86"/>
      <c r="W6" s="86"/>
      <c r="X6" s="86"/>
      <c r="Y6" s="86"/>
    </row>
    <row r="7" spans="4:25" x14ac:dyDescent="0.2">
      <c r="D7" s="82"/>
      <c r="V7" s="86"/>
      <c r="W7" s="86"/>
      <c r="X7" s="86"/>
      <c r="Y7" s="86"/>
    </row>
    <row r="8" spans="4:25" x14ac:dyDescent="0.2">
      <c r="V8" s="86"/>
      <c r="W8" s="86"/>
      <c r="X8" s="86"/>
      <c r="Y8" s="86"/>
    </row>
    <row r="9" spans="4:25" x14ac:dyDescent="0.2">
      <c r="V9" s="86"/>
      <c r="W9" s="86"/>
      <c r="X9" s="86"/>
      <c r="Y9" s="86"/>
    </row>
    <row r="10" spans="4:25" x14ac:dyDescent="0.2">
      <c r="V10" s="86"/>
      <c r="W10" s="101"/>
      <c r="X10" s="86"/>
      <c r="Y10" s="86"/>
    </row>
    <row r="11" spans="4:25" x14ac:dyDescent="0.2">
      <c r="V11" s="86"/>
      <c r="W11" s="86"/>
      <c r="X11" s="86"/>
      <c r="Y11" s="86"/>
    </row>
    <row r="12" spans="4:25" x14ac:dyDescent="0.2">
      <c r="V12" s="86"/>
      <c r="W12" s="86"/>
      <c r="X12" s="86"/>
      <c r="Y12" s="86"/>
    </row>
    <row r="13" spans="4:25" x14ac:dyDescent="0.2">
      <c r="V13" s="86"/>
      <c r="W13" s="86"/>
      <c r="X13" s="86"/>
      <c r="Y13" s="86"/>
    </row>
    <row r="14" spans="4:25" x14ac:dyDescent="0.2">
      <c r="V14" s="86"/>
      <c r="W14" s="86"/>
      <c r="X14" s="86"/>
      <c r="Y14" s="86"/>
    </row>
    <row r="15" spans="4:25" x14ac:dyDescent="0.2">
      <c r="V15" s="86"/>
      <c r="W15" s="86"/>
      <c r="X15" s="86"/>
      <c r="Y15" s="86"/>
    </row>
    <row r="16" spans="4:25" x14ac:dyDescent="0.2">
      <c r="D16"/>
      <c r="E16"/>
      <c r="F16"/>
      <c r="H16"/>
      <c r="I16"/>
      <c r="K16"/>
      <c r="L16"/>
      <c r="M16"/>
      <c r="O16"/>
      <c r="P16"/>
      <c r="Q16"/>
      <c r="R16"/>
      <c r="S16"/>
      <c r="T16"/>
    </row>
    <row r="17" spans="4:25" x14ac:dyDescent="0.2">
      <c r="D17"/>
      <c r="E17"/>
      <c r="F17"/>
      <c r="H17"/>
      <c r="I17"/>
      <c r="K17"/>
      <c r="L17"/>
      <c r="M17"/>
      <c r="O17"/>
      <c r="P17"/>
      <c r="Q17"/>
      <c r="R17"/>
      <c r="S17"/>
      <c r="T17"/>
    </row>
    <row r="18" spans="4:25" x14ac:dyDescent="0.2">
      <c r="D18"/>
      <c r="E18"/>
      <c r="F18"/>
      <c r="H18"/>
      <c r="I18"/>
      <c r="K18"/>
      <c r="L18"/>
      <c r="M18"/>
      <c r="O18"/>
      <c r="P18"/>
      <c r="Q18"/>
      <c r="R18"/>
      <c r="S18"/>
      <c r="T18"/>
    </row>
    <row r="19" spans="4:25" x14ac:dyDescent="0.2">
      <c r="D19"/>
      <c r="E19"/>
      <c r="F19"/>
      <c r="H19"/>
      <c r="I19"/>
      <c r="K19"/>
      <c r="L19"/>
      <c r="M19"/>
      <c r="O19"/>
      <c r="P19"/>
      <c r="Q19"/>
      <c r="R19"/>
      <c r="S19"/>
      <c r="T19"/>
    </row>
    <row r="20" spans="4:25" x14ac:dyDescent="0.2">
      <c r="D20"/>
      <c r="E20"/>
      <c r="F20"/>
      <c r="H20"/>
      <c r="I20"/>
      <c r="K20"/>
      <c r="L20"/>
      <c r="M20"/>
      <c r="O20"/>
      <c r="P20"/>
      <c r="Q20"/>
      <c r="R20"/>
      <c r="S20"/>
      <c r="T20"/>
    </row>
    <row r="21" spans="4:25" x14ac:dyDescent="0.2">
      <c r="D21"/>
      <c r="E21"/>
      <c r="F21"/>
      <c r="H21"/>
      <c r="I21"/>
      <c r="K21"/>
      <c r="L21"/>
      <c r="M21"/>
      <c r="O21"/>
      <c r="P21"/>
      <c r="Q21"/>
      <c r="R21"/>
      <c r="S21"/>
      <c r="T21"/>
    </row>
    <row r="22" spans="4:25" x14ac:dyDescent="0.2">
      <c r="D22"/>
      <c r="E22"/>
      <c r="F22"/>
      <c r="H22"/>
      <c r="I22"/>
      <c r="K22"/>
      <c r="L22"/>
      <c r="M22"/>
      <c r="O22"/>
      <c r="P22"/>
      <c r="Q22"/>
      <c r="R22"/>
      <c r="S22"/>
      <c r="T22"/>
      <c r="V22" s="628" t="s">
        <v>476</v>
      </c>
      <c r="W22" s="628"/>
      <c r="X22" s="628"/>
      <c r="Y22" s="628"/>
    </row>
    <row r="23" spans="4:25" ht="19" x14ac:dyDescent="0.25">
      <c r="D23" s="630" t="s">
        <v>473</v>
      </c>
      <c r="E23" s="630"/>
      <c r="F23" s="630"/>
      <c r="H23" s="631" t="s">
        <v>471</v>
      </c>
      <c r="I23" s="631"/>
      <c r="J23" s="83"/>
      <c r="K23" s="83"/>
      <c r="L23" s="632" t="s">
        <v>475</v>
      </c>
      <c r="M23" s="632"/>
      <c r="V23" s="86"/>
      <c r="W23" s="86"/>
      <c r="X23" s="86"/>
      <c r="Y23" s="86"/>
    </row>
    <row r="24" spans="4:25" x14ac:dyDescent="0.2">
      <c r="D24" s="87"/>
      <c r="E24" s="87"/>
      <c r="F24" s="87"/>
      <c r="J24" s="83"/>
      <c r="K24" s="83"/>
      <c r="V24" s="86"/>
      <c r="W24" s="86"/>
      <c r="X24" s="86"/>
      <c r="Y24" s="86"/>
    </row>
    <row r="25" spans="4:25" x14ac:dyDescent="0.2">
      <c r="D25" s="87"/>
      <c r="E25" s="87"/>
      <c r="F25" s="87"/>
      <c r="J25" s="83"/>
      <c r="K25" s="83"/>
      <c r="V25" s="86"/>
      <c r="W25" s="86"/>
      <c r="X25" s="86"/>
      <c r="Y25" s="86"/>
    </row>
    <row r="26" spans="4:25" x14ac:dyDescent="0.2">
      <c r="D26" s="87"/>
      <c r="E26" s="87"/>
      <c r="F26" s="87"/>
      <c r="J26" s="83"/>
      <c r="K26" s="83"/>
      <c r="V26" s="86"/>
      <c r="W26" s="86"/>
      <c r="X26" s="86"/>
      <c r="Y26" s="86"/>
    </row>
    <row r="27" spans="4:25" x14ac:dyDescent="0.2">
      <c r="D27" s="87"/>
      <c r="E27" s="87"/>
      <c r="F27" s="87"/>
      <c r="J27" s="83"/>
      <c r="K27" s="83"/>
      <c r="V27" s="86"/>
      <c r="W27" s="86"/>
      <c r="X27" s="86"/>
      <c r="Y27" s="86"/>
    </row>
    <row r="28" spans="4:25" x14ac:dyDescent="0.2">
      <c r="D28" s="87"/>
      <c r="E28" s="87"/>
      <c r="F28" s="87"/>
      <c r="J28" s="83"/>
      <c r="K28" s="83"/>
      <c r="V28" s="86"/>
      <c r="W28" s="86"/>
      <c r="X28" s="86"/>
      <c r="Y28" s="86"/>
    </row>
    <row r="29" spans="4:25" x14ac:dyDescent="0.2">
      <c r="D29" s="87"/>
      <c r="E29" s="87"/>
      <c r="F29" s="87"/>
      <c r="J29" s="83"/>
      <c r="K29" s="83"/>
      <c r="V29" s="86"/>
      <c r="W29" s="86"/>
      <c r="X29" s="86"/>
      <c r="Y29" s="86"/>
    </row>
    <row r="30" spans="4:25" x14ac:dyDescent="0.2">
      <c r="D30" s="87"/>
      <c r="E30" s="87"/>
      <c r="F30" s="87"/>
      <c r="J30" s="83"/>
      <c r="K30" s="83"/>
      <c r="V30" s="86"/>
      <c r="W30" s="86"/>
      <c r="X30" s="86"/>
      <c r="Y30" s="86"/>
    </row>
    <row r="31" spans="4:25" x14ac:dyDescent="0.2">
      <c r="D31" s="87"/>
      <c r="E31" s="87"/>
      <c r="F31" s="87"/>
      <c r="J31" s="83"/>
      <c r="K31" s="83"/>
      <c r="V31" s="86"/>
      <c r="W31" s="86"/>
      <c r="X31" s="86"/>
      <c r="Y31" s="86"/>
    </row>
    <row r="32" spans="4:25" x14ac:dyDescent="0.2">
      <c r="D32" s="87"/>
      <c r="E32" s="87"/>
      <c r="F32" s="87"/>
      <c r="J32" s="83"/>
      <c r="K32" s="83"/>
      <c r="V32" s="86"/>
      <c r="W32" s="86"/>
      <c r="X32" s="86"/>
      <c r="Y32" s="86"/>
    </row>
    <row r="33" spans="4:25" x14ac:dyDescent="0.2">
      <c r="D33" s="87"/>
      <c r="E33" s="87"/>
      <c r="F33" s="87"/>
      <c r="J33" s="83"/>
      <c r="K33" s="83"/>
      <c r="V33" s="86"/>
      <c r="W33" s="86"/>
      <c r="X33" s="86"/>
      <c r="Y33" s="86"/>
    </row>
    <row r="34" spans="4:25" x14ac:dyDescent="0.2">
      <c r="D34" s="87"/>
      <c r="E34" s="87"/>
      <c r="F34" s="87"/>
      <c r="J34" s="83"/>
      <c r="K34" s="83"/>
      <c r="V34" s="86"/>
      <c r="W34" s="86"/>
      <c r="X34" s="86"/>
      <c r="Y34" s="86"/>
    </row>
    <row r="35" spans="4:25" x14ac:dyDescent="0.2">
      <c r="D35" s="87"/>
      <c r="E35" s="87"/>
      <c r="F35" s="87"/>
      <c r="J35" s="83"/>
      <c r="K35" s="83"/>
      <c r="V35" s="86"/>
      <c r="W35" s="86"/>
      <c r="X35" s="86"/>
      <c r="Y35" s="86"/>
    </row>
    <row r="36" spans="4:25" x14ac:dyDescent="0.2">
      <c r="D36" s="87"/>
      <c r="E36" s="87"/>
      <c r="F36" s="87"/>
      <c r="J36" s="83"/>
      <c r="K36" s="83"/>
      <c r="V36" s="86"/>
      <c r="W36" s="86"/>
      <c r="X36" s="86"/>
      <c r="Y36" s="86"/>
    </row>
    <row r="37" spans="4:25" x14ac:dyDescent="0.2">
      <c r="D37"/>
      <c r="E37"/>
      <c r="F37"/>
      <c r="H37"/>
      <c r="I37"/>
      <c r="K37"/>
      <c r="L37"/>
      <c r="M37"/>
      <c r="O37"/>
      <c r="P37"/>
      <c r="Q37"/>
      <c r="R37"/>
      <c r="S37"/>
      <c r="T37"/>
    </row>
    <row r="38" spans="4:25" x14ac:dyDescent="0.2">
      <c r="D38"/>
      <c r="E38"/>
      <c r="F38"/>
      <c r="H38"/>
      <c r="I38"/>
      <c r="K38"/>
      <c r="L38"/>
      <c r="M38"/>
      <c r="O38"/>
      <c r="P38"/>
      <c r="Q38"/>
      <c r="R38"/>
      <c r="S38"/>
      <c r="T38"/>
    </row>
    <row r="39" spans="4:25" x14ac:dyDescent="0.2">
      <c r="D39"/>
      <c r="E39"/>
      <c r="F39"/>
      <c r="H39"/>
      <c r="I39"/>
      <c r="K39"/>
      <c r="L39"/>
      <c r="M39"/>
      <c r="O39"/>
      <c r="P39"/>
      <c r="Q39"/>
      <c r="R39"/>
      <c r="S39"/>
      <c r="T39"/>
    </row>
    <row r="40" spans="4:25" x14ac:dyDescent="0.2">
      <c r="D40"/>
      <c r="E40"/>
      <c r="F40"/>
      <c r="H40"/>
      <c r="I40"/>
      <c r="K40"/>
      <c r="L40"/>
      <c r="M40"/>
      <c r="O40"/>
      <c r="P40"/>
      <c r="Q40"/>
      <c r="R40"/>
      <c r="S40"/>
      <c r="T40"/>
    </row>
    <row r="41" spans="4:25" x14ac:dyDescent="0.2">
      <c r="D41"/>
      <c r="E41"/>
      <c r="F41"/>
      <c r="H41"/>
      <c r="I41"/>
      <c r="K41"/>
      <c r="L41"/>
      <c r="M41"/>
      <c r="O41"/>
      <c r="P41"/>
      <c r="Q41"/>
      <c r="R41"/>
      <c r="S41"/>
      <c r="T41"/>
    </row>
    <row r="42" spans="4:25" x14ac:dyDescent="0.2">
      <c r="D42"/>
      <c r="E42"/>
      <c r="F42"/>
      <c r="H42"/>
      <c r="I42"/>
      <c r="K42"/>
      <c r="L42"/>
      <c r="M42"/>
      <c r="O42"/>
      <c r="P42"/>
      <c r="Q42"/>
      <c r="R42"/>
      <c r="S42"/>
      <c r="T42"/>
    </row>
    <row r="43" spans="4:25" x14ac:dyDescent="0.2">
      <c r="D43"/>
      <c r="E43"/>
      <c r="F43"/>
      <c r="H43"/>
      <c r="I43"/>
      <c r="K43"/>
      <c r="L43"/>
      <c r="M43"/>
      <c r="O43"/>
      <c r="P43"/>
      <c r="Q43"/>
      <c r="R43"/>
      <c r="S43"/>
      <c r="T43"/>
    </row>
    <row r="44" spans="4:25" x14ac:dyDescent="0.2">
      <c r="D44"/>
      <c r="E44"/>
      <c r="F44"/>
      <c r="H44"/>
      <c r="I44"/>
      <c r="K44"/>
      <c r="L44"/>
      <c r="M44"/>
      <c r="O44"/>
      <c r="P44"/>
      <c r="Q44"/>
      <c r="R44"/>
      <c r="S44"/>
      <c r="T44"/>
    </row>
    <row r="45" spans="4:25" x14ac:dyDescent="0.2">
      <c r="D45"/>
      <c r="E45"/>
      <c r="F45"/>
      <c r="H45"/>
      <c r="I45"/>
      <c r="K45"/>
      <c r="L45"/>
      <c r="M45"/>
      <c r="O45"/>
      <c r="P45"/>
      <c r="Q45"/>
      <c r="R45"/>
      <c r="S45"/>
      <c r="T45"/>
    </row>
    <row r="46" spans="4:25" x14ac:dyDescent="0.2">
      <c r="D46"/>
      <c r="E46"/>
      <c r="F46"/>
      <c r="H46"/>
      <c r="I46"/>
      <c r="K46"/>
      <c r="L46"/>
      <c r="M46"/>
      <c r="O46"/>
      <c r="P46"/>
      <c r="Q46"/>
      <c r="R46"/>
      <c r="S46"/>
      <c r="T46"/>
    </row>
    <row r="47" spans="4:25" x14ac:dyDescent="0.2">
      <c r="D47"/>
      <c r="E47"/>
      <c r="F47"/>
      <c r="H47"/>
      <c r="I47"/>
      <c r="K47"/>
      <c r="L47"/>
      <c r="M47"/>
      <c r="O47"/>
      <c r="P47"/>
      <c r="Q47"/>
      <c r="R47"/>
      <c r="S47"/>
      <c r="T47"/>
    </row>
    <row r="48" spans="4:25" x14ac:dyDescent="0.2">
      <c r="D48"/>
      <c r="E48"/>
      <c r="F48"/>
      <c r="H48"/>
      <c r="I48"/>
      <c r="K48"/>
      <c r="L48"/>
      <c r="M48"/>
      <c r="O48"/>
      <c r="P48"/>
      <c r="Q48"/>
      <c r="R48"/>
      <c r="S48"/>
      <c r="T48"/>
    </row>
    <row r="49" customFormat="1" x14ac:dyDescent="0.2"/>
    <row r="50" customFormat="1" x14ac:dyDescent="0.2"/>
    <row r="51" customFormat="1" x14ac:dyDescent="0.2"/>
    <row r="52" customFormat="1" x14ac:dyDescent="0.2"/>
    <row r="53" customFormat="1" x14ac:dyDescent="0.2"/>
    <row r="54" customFormat="1" x14ac:dyDescent="0.2"/>
    <row r="55" customFormat="1" x14ac:dyDescent="0.2"/>
    <row r="56" customFormat="1" x14ac:dyDescent="0.2"/>
    <row r="57" customFormat="1" x14ac:dyDescent="0.2"/>
    <row r="58" customFormat="1" x14ac:dyDescent="0.2"/>
    <row r="59" customFormat="1" x14ac:dyDescent="0.2"/>
    <row r="60" customFormat="1" x14ac:dyDescent="0.2"/>
    <row r="61" customFormat="1" x14ac:dyDescent="0.2"/>
    <row r="62" customFormat="1" x14ac:dyDescent="0.2"/>
    <row r="63" customFormat="1" x14ac:dyDescent="0.2"/>
    <row r="64" customFormat="1" x14ac:dyDescent="0.2"/>
    <row r="65" customFormat="1" x14ac:dyDescent="0.2"/>
    <row r="66" customFormat="1" x14ac:dyDescent="0.2"/>
    <row r="67" customFormat="1" x14ac:dyDescent="0.2"/>
    <row r="68" customFormat="1" x14ac:dyDescent="0.2"/>
    <row r="69" customFormat="1" x14ac:dyDescent="0.2"/>
    <row r="70" customFormat="1" x14ac:dyDescent="0.2"/>
    <row r="71" customFormat="1" x14ac:dyDescent="0.2"/>
    <row r="72" customFormat="1" x14ac:dyDescent="0.2"/>
    <row r="73" customFormat="1" x14ac:dyDescent="0.2"/>
    <row r="74" customFormat="1" x14ac:dyDescent="0.2"/>
    <row r="75" customFormat="1" x14ac:dyDescent="0.2"/>
    <row r="76" customFormat="1" x14ac:dyDescent="0.2"/>
    <row r="77" customFormat="1" x14ac:dyDescent="0.2"/>
    <row r="78" customFormat="1" x14ac:dyDescent="0.2"/>
    <row r="79" customFormat="1" x14ac:dyDescent="0.2"/>
    <row r="80" customFormat="1" x14ac:dyDescent="0.2"/>
    <row r="81" customFormat="1" x14ac:dyDescent="0.2"/>
    <row r="82" customFormat="1" x14ac:dyDescent="0.2"/>
    <row r="83" customFormat="1" x14ac:dyDescent="0.2"/>
    <row r="84" customFormat="1" x14ac:dyDescent="0.2"/>
    <row r="85" customFormat="1" x14ac:dyDescent="0.2"/>
    <row r="86" customFormat="1" x14ac:dyDescent="0.2"/>
    <row r="87" customFormat="1" x14ac:dyDescent="0.2"/>
    <row r="88" customFormat="1" x14ac:dyDescent="0.2"/>
    <row r="89" customFormat="1" x14ac:dyDescent="0.2"/>
    <row r="90" customFormat="1" x14ac:dyDescent="0.2"/>
    <row r="91" customFormat="1" x14ac:dyDescent="0.2"/>
    <row r="92" customFormat="1" x14ac:dyDescent="0.2"/>
    <row r="93" customFormat="1" x14ac:dyDescent="0.2"/>
    <row r="94" customFormat="1" x14ac:dyDescent="0.2"/>
    <row r="95" customFormat="1" x14ac:dyDescent="0.2"/>
    <row r="96" customFormat="1" x14ac:dyDescent="0.2"/>
    <row r="97" customFormat="1" x14ac:dyDescent="0.2"/>
    <row r="98" customFormat="1" x14ac:dyDescent="0.2"/>
    <row r="99" customFormat="1" x14ac:dyDescent="0.2"/>
    <row r="100" customFormat="1" x14ac:dyDescent="0.2"/>
    <row r="101" customFormat="1" x14ac:dyDescent="0.2"/>
    <row r="102" customFormat="1" x14ac:dyDescent="0.2"/>
    <row r="103" customFormat="1" x14ac:dyDescent="0.2"/>
    <row r="104" customFormat="1" x14ac:dyDescent="0.2"/>
    <row r="105" customFormat="1" x14ac:dyDescent="0.2"/>
    <row r="106" customFormat="1" x14ac:dyDescent="0.2"/>
    <row r="107" customFormat="1" x14ac:dyDescent="0.2"/>
    <row r="108" customFormat="1" x14ac:dyDescent="0.2"/>
    <row r="109" customFormat="1" x14ac:dyDescent="0.2"/>
    <row r="110" customFormat="1" x14ac:dyDescent="0.2"/>
    <row r="111" customFormat="1" x14ac:dyDescent="0.2"/>
    <row r="112" customFormat="1" x14ac:dyDescent="0.2"/>
    <row r="113" customFormat="1" x14ac:dyDescent="0.2"/>
    <row r="114" customFormat="1" x14ac:dyDescent="0.2"/>
    <row r="115" customFormat="1" x14ac:dyDescent="0.2"/>
    <row r="116" customFormat="1" x14ac:dyDescent="0.2"/>
    <row r="117" customFormat="1" x14ac:dyDescent="0.2"/>
    <row r="118" customFormat="1" x14ac:dyDescent="0.2"/>
    <row r="119" customFormat="1" x14ac:dyDescent="0.2"/>
    <row r="120" customFormat="1" x14ac:dyDescent="0.2"/>
    <row r="121" customFormat="1" x14ac:dyDescent="0.2"/>
    <row r="122" customFormat="1" x14ac:dyDescent="0.2"/>
    <row r="123" customFormat="1" x14ac:dyDescent="0.2"/>
    <row r="124" customFormat="1" x14ac:dyDescent="0.2"/>
    <row r="125" customFormat="1" x14ac:dyDescent="0.2"/>
    <row r="126" customFormat="1" x14ac:dyDescent="0.2"/>
    <row r="127" customFormat="1" x14ac:dyDescent="0.2"/>
    <row r="128" customFormat="1" x14ac:dyDescent="0.2"/>
    <row r="129" customFormat="1" x14ac:dyDescent="0.2"/>
    <row r="130" customFormat="1" x14ac:dyDescent="0.2"/>
    <row r="131" customFormat="1" x14ac:dyDescent="0.2"/>
    <row r="132" customFormat="1" x14ac:dyDescent="0.2"/>
    <row r="133" customFormat="1" x14ac:dyDescent="0.2"/>
    <row r="134" customFormat="1" x14ac:dyDescent="0.2"/>
  </sheetData>
  <mergeCells count="10">
    <mergeCell ref="V2:Y2"/>
    <mergeCell ref="V22:Y22"/>
    <mergeCell ref="O3:T3"/>
    <mergeCell ref="D23:F23"/>
    <mergeCell ref="H23:I23"/>
    <mergeCell ref="L23:M23"/>
    <mergeCell ref="D3:F3"/>
    <mergeCell ref="H3:I3"/>
    <mergeCell ref="K3:M3"/>
    <mergeCell ref="K4:M4"/>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36E713-3B59-4838-AFC8-D155BF0D1873}">
  <dimension ref="C4:L11"/>
  <sheetViews>
    <sheetView workbookViewId="0">
      <selection activeCell="C4" sqref="C4:L11"/>
    </sheetView>
  </sheetViews>
  <sheetFormatPr baseColWidth="10" defaultColWidth="8.83203125" defaultRowHeight="15" x14ac:dyDescent="0.2"/>
  <cols>
    <col min="3" max="3" width="40.6640625" customWidth="1"/>
    <col min="2000" max="2000" width="2.5" customWidth="1"/>
  </cols>
  <sheetData>
    <row r="4" spans="3:12" ht="45" x14ac:dyDescent="0.2">
      <c r="C4" s="494" t="s">
        <v>1287</v>
      </c>
      <c r="D4" s="491" t="s">
        <v>1254</v>
      </c>
      <c r="E4" s="491" t="s">
        <v>1286</v>
      </c>
      <c r="F4" s="491" t="s">
        <v>1179</v>
      </c>
      <c r="G4" s="491" t="s">
        <v>1285</v>
      </c>
      <c r="H4" s="491" t="s">
        <v>1004</v>
      </c>
      <c r="I4" s="491" t="s">
        <v>1180</v>
      </c>
      <c r="J4" s="491" t="s">
        <v>1284</v>
      </c>
      <c r="K4" s="491" t="s">
        <v>1000</v>
      </c>
      <c r="L4" s="492" t="s">
        <v>1005</v>
      </c>
    </row>
    <row r="5" spans="3:12" x14ac:dyDescent="0.2">
      <c r="C5" s="192" t="s">
        <v>1288</v>
      </c>
      <c r="D5" s="377">
        <v>12.577381927923158</v>
      </c>
      <c r="E5" s="377">
        <v>12.683559578681514</v>
      </c>
      <c r="F5" s="394">
        <v>24753.066324980977</v>
      </c>
      <c r="G5" s="394">
        <v>24828.798737608751</v>
      </c>
      <c r="H5" s="394">
        <v>75.732412627774465</v>
      </c>
      <c r="I5" s="377">
        <v>6.2859228379888279</v>
      </c>
      <c r="J5" s="377">
        <v>6.3366104605562086</v>
      </c>
      <c r="K5" s="377">
        <v>5.0687622567380686E-2</v>
      </c>
      <c r="L5" s="493">
        <v>1494.1007052974508</v>
      </c>
    </row>
    <row r="6" spans="3:12" x14ac:dyDescent="0.2">
      <c r="C6" s="192" t="s">
        <v>1282</v>
      </c>
      <c r="D6" s="377">
        <v>12.577381927923158</v>
      </c>
      <c r="E6" s="377">
        <v>12.683559578681514</v>
      </c>
      <c r="F6" s="394">
        <v>24753.066324980977</v>
      </c>
      <c r="G6" s="394">
        <v>24832.250466061058</v>
      </c>
      <c r="H6" s="394">
        <v>79.184141080080735</v>
      </c>
      <c r="I6" s="377">
        <v>6.2859228379888279</v>
      </c>
      <c r="J6" s="377">
        <v>6.3291885283100031</v>
      </c>
      <c r="K6" s="377">
        <v>4.3265690321175221E-2</v>
      </c>
      <c r="L6" s="493">
        <v>1830.1832350823765</v>
      </c>
    </row>
    <row r="7" spans="3:12" x14ac:dyDescent="0.2">
      <c r="C7" s="192" t="s">
        <v>1283</v>
      </c>
      <c r="D7" s="377">
        <v>12.577381927923158</v>
      </c>
      <c r="E7" s="377">
        <v>12.683559578681514</v>
      </c>
      <c r="F7" s="394">
        <v>24753.066324980977</v>
      </c>
      <c r="G7" s="394">
        <v>24894.745700772808</v>
      </c>
      <c r="H7" s="394">
        <v>141.67937579183126</v>
      </c>
      <c r="I7" s="377">
        <v>6.2859228379888279</v>
      </c>
      <c r="J7" s="377">
        <v>6.3207843864242932</v>
      </c>
      <c r="K7" s="377">
        <v>3.4861548435465295E-2</v>
      </c>
      <c r="L7" s="493">
        <v>4064.0586018175322</v>
      </c>
    </row>
    <row r="8" spans="3:12" x14ac:dyDescent="0.2">
      <c r="C8" s="192" t="s">
        <v>1289</v>
      </c>
      <c r="D8" s="377">
        <v>12.551804860769519</v>
      </c>
      <c r="E8" s="377">
        <v>12.666389737355523</v>
      </c>
      <c r="F8" s="394">
        <v>24645.841619340274</v>
      </c>
      <c r="G8" s="394">
        <v>24751.570365027899</v>
      </c>
      <c r="H8" s="394">
        <v>105.72874568762563</v>
      </c>
      <c r="I8" s="377">
        <v>6.274044096379729</v>
      </c>
      <c r="J8" s="377">
        <v>6.3286287699292636</v>
      </c>
      <c r="K8" s="377">
        <v>5.4584673549534557E-2</v>
      </c>
      <c r="L8" s="493">
        <v>1936.9676286820475</v>
      </c>
    </row>
    <row r="9" spans="3:12" x14ac:dyDescent="0.2">
      <c r="C9" s="192" t="s">
        <v>1290</v>
      </c>
      <c r="D9" s="377">
        <v>12.53782643244541</v>
      </c>
      <c r="E9" s="377">
        <v>12.66177685600857</v>
      </c>
      <c r="F9" s="394">
        <v>24590.192838564275</v>
      </c>
      <c r="G9" s="394">
        <v>24735.833356957919</v>
      </c>
      <c r="H9" s="394">
        <v>145.64051839364402</v>
      </c>
      <c r="I9" s="377">
        <v>6.2675459879688455</v>
      </c>
      <c r="J9" s="377">
        <v>6.326484394153673</v>
      </c>
      <c r="K9" s="377">
        <v>5.8938406184827485E-2</v>
      </c>
      <c r="L9" s="493">
        <v>2471.0630609338782</v>
      </c>
    </row>
    <row r="10" spans="3:12" x14ac:dyDescent="0.2">
      <c r="C10" s="192" t="s">
        <v>1291</v>
      </c>
      <c r="D10" s="377">
        <v>12.577381927923158</v>
      </c>
      <c r="E10" s="377">
        <v>12.661395521877411</v>
      </c>
      <c r="F10" s="394">
        <v>24753.066324980977</v>
      </c>
      <c r="G10" s="394">
        <v>24933.027045470939</v>
      </c>
      <c r="H10" s="394">
        <v>179.96072048996211</v>
      </c>
      <c r="I10" s="377">
        <v>6.2859228379888279</v>
      </c>
      <c r="J10" s="377">
        <v>6.3258026883782748</v>
      </c>
      <c r="K10" s="377">
        <v>3.9879850389446858E-2</v>
      </c>
      <c r="L10" s="493">
        <v>4512.572608286011</v>
      </c>
    </row>
    <row r="11" spans="3:12" x14ac:dyDescent="0.2">
      <c r="C11" s="202" t="s">
        <v>1292</v>
      </c>
      <c r="D11" s="433">
        <v>12.577381927923158</v>
      </c>
      <c r="E11" s="433">
        <v>12.683559578681514</v>
      </c>
      <c r="F11" s="440">
        <v>24753.066324980977</v>
      </c>
      <c r="G11" s="440">
        <v>24955.023620546493</v>
      </c>
      <c r="H11" s="440">
        <v>201.95729556551669</v>
      </c>
      <c r="I11" s="433">
        <v>6.2859228379888279</v>
      </c>
      <c r="J11" s="433">
        <v>6.3366104605562086</v>
      </c>
      <c r="K11" s="433">
        <v>5.0687622567380686E-2</v>
      </c>
      <c r="L11" s="441">
        <v>3984.3513137166447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7E2DA7-59A3-47AF-BFB8-9EF6CC8D9892}">
  <sheetPr codeName="Sheet4"/>
  <dimension ref="A1"/>
  <sheetViews>
    <sheetView showGridLines="0" topLeftCell="A58" zoomScale="85" zoomScaleNormal="85" workbookViewId="0">
      <selection activeCell="S533" sqref="S533"/>
    </sheetView>
  </sheetViews>
  <sheetFormatPr baseColWidth="10" defaultColWidth="8.83203125" defaultRowHeight="15" x14ac:dyDescent="0.2"/>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5E6F06-2392-48D1-9BDF-A241F23D2B62}">
  <sheetPr codeName="Sheet5"/>
  <dimension ref="X5:Z31"/>
  <sheetViews>
    <sheetView showGridLines="0" topLeftCell="E4" zoomScale="85" zoomScaleNormal="85" workbookViewId="0">
      <selection activeCell="R26" sqref="R26"/>
    </sheetView>
  </sheetViews>
  <sheetFormatPr baseColWidth="10" defaultColWidth="8.83203125" defaultRowHeight="15" x14ac:dyDescent="0.2"/>
  <cols>
    <col min="10" max="11" width="8.83203125" customWidth="1"/>
    <col min="14" max="14" width="8.83203125" customWidth="1"/>
    <col min="24" max="26" width="0" hidden="1" customWidth="1"/>
    <col min="27" max="27" width="1.83203125" customWidth="1"/>
    <col min="28" max="28" width="8.83203125" customWidth="1"/>
    <col min="2000" max="2000" width="2.5" customWidth="1"/>
  </cols>
  <sheetData>
    <row r="5" spans="24:26" x14ac:dyDescent="0.2">
      <c r="X5" s="47"/>
      <c r="Y5" s="47"/>
      <c r="Z5" s="47"/>
    </row>
    <row r="6" spans="24:26" x14ac:dyDescent="0.2">
      <c r="X6" s="47"/>
      <c r="Y6" s="47"/>
      <c r="Z6" s="47"/>
    </row>
    <row r="7" spans="24:26" x14ac:dyDescent="0.2">
      <c r="X7" s="47"/>
      <c r="Y7" s="47"/>
      <c r="Z7" s="47"/>
    </row>
    <row r="8" spans="24:26" x14ac:dyDescent="0.2">
      <c r="X8" s="47"/>
      <c r="Y8" s="47"/>
      <c r="Z8" s="47"/>
    </row>
    <row r="9" spans="24:26" x14ac:dyDescent="0.2">
      <c r="X9" s="47"/>
      <c r="Y9" s="47"/>
      <c r="Z9" s="47"/>
    </row>
    <row r="10" spans="24:26" x14ac:dyDescent="0.2">
      <c r="X10" s="47"/>
      <c r="Y10" s="47"/>
      <c r="Z10" s="47"/>
    </row>
    <row r="11" spans="24:26" x14ac:dyDescent="0.2">
      <c r="X11" s="47"/>
      <c r="Y11" s="47"/>
      <c r="Z11" s="47"/>
    </row>
    <row r="12" spans="24:26" x14ac:dyDescent="0.2">
      <c r="X12" s="47"/>
      <c r="Y12" s="47"/>
      <c r="Z12" s="47"/>
    </row>
    <row r="13" spans="24:26" x14ac:dyDescent="0.2">
      <c r="X13" s="47"/>
      <c r="Y13" s="47"/>
      <c r="Z13" s="47"/>
    </row>
    <row r="14" spans="24:26" x14ac:dyDescent="0.2">
      <c r="X14" s="47"/>
      <c r="Y14" s="47"/>
      <c r="Z14" s="47"/>
    </row>
    <row r="15" spans="24:26" x14ac:dyDescent="0.2">
      <c r="X15" s="47"/>
      <c r="Y15" s="47"/>
      <c r="Z15" s="47"/>
    </row>
    <row r="16" spans="24:26" x14ac:dyDescent="0.2">
      <c r="X16" s="47"/>
      <c r="Y16" s="47"/>
      <c r="Z16" s="47"/>
    </row>
    <row r="17" spans="24:26" x14ac:dyDescent="0.2">
      <c r="X17" s="47"/>
      <c r="Y17" s="47"/>
      <c r="Z17" s="47"/>
    </row>
    <row r="18" spans="24:26" x14ac:dyDescent="0.2">
      <c r="X18" s="47"/>
      <c r="Y18" s="47"/>
      <c r="Z18" s="47"/>
    </row>
    <row r="19" spans="24:26" x14ac:dyDescent="0.2">
      <c r="X19" s="47"/>
      <c r="Y19" s="47"/>
      <c r="Z19" s="47"/>
    </row>
    <row r="20" spans="24:26" x14ac:dyDescent="0.2">
      <c r="X20" s="47"/>
      <c r="Y20" s="47"/>
      <c r="Z20" s="47"/>
    </row>
    <row r="21" spans="24:26" x14ac:dyDescent="0.2">
      <c r="X21" s="47"/>
      <c r="Y21" s="47"/>
      <c r="Z21" s="47"/>
    </row>
    <row r="22" spans="24:26" x14ac:dyDescent="0.2">
      <c r="X22" s="47"/>
      <c r="Y22" s="47"/>
      <c r="Z22" s="47"/>
    </row>
    <row r="23" spans="24:26" x14ac:dyDescent="0.2">
      <c r="X23" s="47"/>
      <c r="Y23" s="47"/>
      <c r="Z23" s="47"/>
    </row>
    <row r="24" spans="24:26" x14ac:dyDescent="0.2">
      <c r="X24" s="47"/>
      <c r="Y24" s="47"/>
      <c r="Z24" s="47"/>
    </row>
    <row r="25" spans="24:26" x14ac:dyDescent="0.2">
      <c r="X25" s="47"/>
      <c r="Y25" s="47"/>
      <c r="Z25" s="47"/>
    </row>
    <row r="26" spans="24:26" x14ac:dyDescent="0.2">
      <c r="X26" s="47"/>
      <c r="Y26" s="47"/>
      <c r="Z26" s="47"/>
    </row>
    <row r="27" spans="24:26" x14ac:dyDescent="0.2">
      <c r="X27" s="47"/>
      <c r="Y27" s="47"/>
      <c r="Z27" s="47"/>
    </row>
    <row r="28" spans="24:26" x14ac:dyDescent="0.2">
      <c r="X28" s="47"/>
      <c r="Y28" s="47"/>
      <c r="Z28" s="47"/>
    </row>
    <row r="29" spans="24:26" x14ac:dyDescent="0.2">
      <c r="X29" s="47"/>
      <c r="Y29" s="47"/>
      <c r="Z29" s="47"/>
    </row>
    <row r="30" spans="24:26" x14ac:dyDescent="0.2">
      <c r="X30" s="47"/>
      <c r="Y30" s="47"/>
      <c r="Z30" s="47"/>
    </row>
    <row r="31" spans="24:26" x14ac:dyDescent="0.2">
      <c r="X31" s="47"/>
      <c r="Y31" s="47"/>
      <c r="Z31" s="47"/>
    </row>
  </sheetData>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BA6BB9-553F-48D4-A4DC-3E31EC24A301}">
  <sheetPr codeName="Sheet9"/>
  <dimension ref="A1:E62"/>
  <sheetViews>
    <sheetView workbookViewId="0">
      <pane ySplit="1" topLeftCell="A5" activePane="bottomLeft" state="frozen"/>
      <selection pane="bottomLeft" activeCell="C12" sqref="C12"/>
    </sheetView>
  </sheetViews>
  <sheetFormatPr baseColWidth="10" defaultColWidth="8.83203125" defaultRowHeight="15" x14ac:dyDescent="0.2"/>
  <cols>
    <col min="2" max="2" width="97.5" style="104" customWidth="1"/>
    <col min="3" max="3" width="28.83203125" style="3" customWidth="1"/>
    <col min="4" max="4" width="22.83203125" style="250" customWidth="1"/>
    <col min="2000" max="2000" width="2.5" customWidth="1"/>
  </cols>
  <sheetData>
    <row r="1" spans="1:5" ht="16" x14ac:dyDescent="0.2">
      <c r="B1" s="353" t="s">
        <v>470</v>
      </c>
      <c r="D1" s="250" t="s">
        <v>983</v>
      </c>
      <c r="E1" t="s">
        <v>986</v>
      </c>
    </row>
    <row r="2" spans="1:5" ht="16" x14ac:dyDescent="0.2">
      <c r="B2" s="354" t="s">
        <v>989</v>
      </c>
    </row>
    <row r="3" spans="1:5" ht="16" x14ac:dyDescent="0.2">
      <c r="B3" s="354" t="s">
        <v>990</v>
      </c>
    </row>
    <row r="4" spans="1:5" ht="16" x14ac:dyDescent="0.2">
      <c r="B4" s="354" t="s">
        <v>991</v>
      </c>
      <c r="D4" s="250" t="s">
        <v>1001</v>
      </c>
    </row>
    <row r="5" spans="1:5" ht="20.25" customHeight="1" x14ac:dyDescent="0.2">
      <c r="A5" t="s">
        <v>1109</v>
      </c>
      <c r="B5" s="355" t="s">
        <v>709</v>
      </c>
    </row>
    <row r="6" spans="1:5" ht="20.25" customHeight="1" x14ac:dyDescent="0.2">
      <c r="A6" t="s">
        <v>1109</v>
      </c>
      <c r="B6" s="356" t="s">
        <v>1198</v>
      </c>
      <c r="C6" s="136"/>
      <c r="D6" s="250" t="s">
        <v>1001</v>
      </c>
    </row>
    <row r="7" spans="1:5" ht="17.5" customHeight="1" x14ac:dyDescent="0.2">
      <c r="A7" t="s">
        <v>1109</v>
      </c>
      <c r="B7" s="357" t="s">
        <v>727</v>
      </c>
      <c r="C7" s="136"/>
    </row>
    <row r="8" spans="1:5" ht="18.75" customHeight="1" x14ac:dyDescent="0.2">
      <c r="A8" t="s">
        <v>1109</v>
      </c>
      <c r="B8" s="104" t="s">
        <v>984</v>
      </c>
      <c r="C8" s="173"/>
    </row>
    <row r="9" spans="1:5" ht="20.25" customHeight="1" x14ac:dyDescent="0.2">
      <c r="A9" t="s">
        <v>1109</v>
      </c>
      <c r="B9" s="358" t="s">
        <v>587</v>
      </c>
      <c r="C9" s="173"/>
    </row>
    <row r="10" spans="1:5" ht="40.5" customHeight="1" x14ac:dyDescent="0.2">
      <c r="A10" t="s">
        <v>1109</v>
      </c>
      <c r="B10" s="357" t="s">
        <v>728</v>
      </c>
      <c r="C10" s="173"/>
    </row>
    <row r="11" spans="1:5" ht="39.75" customHeight="1" x14ac:dyDescent="0.2">
      <c r="A11" t="s">
        <v>1109</v>
      </c>
      <c r="B11" s="357" t="s">
        <v>733</v>
      </c>
      <c r="C11" s="173"/>
      <c r="D11" s="250" t="s">
        <v>985</v>
      </c>
    </row>
    <row r="12" spans="1:5" ht="30" customHeight="1" x14ac:dyDescent="0.2">
      <c r="A12" t="s">
        <v>1109</v>
      </c>
      <c r="B12" s="357" t="s">
        <v>723</v>
      </c>
      <c r="C12" s="222">
        <v>0.219</v>
      </c>
      <c r="D12" s="285" t="s">
        <v>1002</v>
      </c>
    </row>
    <row r="13" spans="1:5" ht="30" customHeight="1" x14ac:dyDescent="0.2">
      <c r="A13" t="s">
        <v>1109</v>
      </c>
      <c r="B13" s="357" t="s">
        <v>724</v>
      </c>
      <c r="C13" s="222">
        <v>0.55200000000000005</v>
      </c>
      <c r="D13" s="285" t="s">
        <v>1002</v>
      </c>
    </row>
    <row r="14" spans="1:5" ht="30" customHeight="1" x14ac:dyDescent="0.2">
      <c r="A14" t="s">
        <v>1109</v>
      </c>
      <c r="B14" s="357" t="s">
        <v>725</v>
      </c>
      <c r="C14" s="222">
        <v>0.22900000000000001</v>
      </c>
      <c r="D14" s="285" t="s">
        <v>1002</v>
      </c>
    </row>
    <row r="15" spans="1:5" ht="30" customHeight="1" x14ac:dyDescent="0.2">
      <c r="A15" t="s">
        <v>1109</v>
      </c>
      <c r="B15" s="357" t="s">
        <v>726</v>
      </c>
    </row>
    <row r="16" spans="1:5" ht="30" customHeight="1" x14ac:dyDescent="0.2">
      <c r="A16" t="s">
        <v>1109</v>
      </c>
      <c r="B16" s="357" t="s">
        <v>734</v>
      </c>
      <c r="C16" s="3" t="s">
        <v>526</v>
      </c>
    </row>
    <row r="17" spans="1:4" ht="30" customHeight="1" x14ac:dyDescent="0.2">
      <c r="A17" t="s">
        <v>1109</v>
      </c>
      <c r="B17" s="357" t="s">
        <v>1014</v>
      </c>
    </row>
    <row r="18" spans="1:4" ht="78.75" customHeight="1" x14ac:dyDescent="0.2">
      <c r="A18" t="s">
        <v>1109</v>
      </c>
      <c r="B18" s="357" t="s">
        <v>864</v>
      </c>
      <c r="C18" s="3">
        <v>365</v>
      </c>
    </row>
    <row r="19" spans="1:4" ht="30" customHeight="1" x14ac:dyDescent="0.2">
      <c r="A19" t="s">
        <v>1109</v>
      </c>
      <c r="B19" s="357" t="s">
        <v>1015</v>
      </c>
      <c r="C19" s="173">
        <v>0.15</v>
      </c>
    </row>
    <row r="20" spans="1:4" ht="52.5" customHeight="1" x14ac:dyDescent="0.2">
      <c r="A20" t="s">
        <v>1109</v>
      </c>
      <c r="B20" s="357" t="s">
        <v>868</v>
      </c>
      <c r="C20" s="173"/>
    </row>
    <row r="21" spans="1:4" ht="33" customHeight="1" x14ac:dyDescent="0.2">
      <c r="A21" t="s">
        <v>1109</v>
      </c>
      <c r="B21" s="357" t="s">
        <v>866</v>
      </c>
      <c r="C21" s="144"/>
    </row>
    <row r="22" spans="1:4" ht="30" customHeight="1" x14ac:dyDescent="0.2">
      <c r="A22" t="s">
        <v>1109</v>
      </c>
      <c r="B22" s="357" t="s">
        <v>735</v>
      </c>
    </row>
    <row r="23" spans="1:4" ht="30" customHeight="1" x14ac:dyDescent="0.2">
      <c r="A23" t="s">
        <v>1109</v>
      </c>
      <c r="B23" s="357" t="s">
        <v>710</v>
      </c>
      <c r="C23" s="228">
        <v>2003.9049186967752</v>
      </c>
    </row>
    <row r="24" spans="1:4" ht="30" customHeight="1" x14ac:dyDescent="0.2">
      <c r="A24" t="s">
        <v>1109</v>
      </c>
      <c r="B24" s="357" t="s">
        <v>729</v>
      </c>
      <c r="C24" s="228">
        <v>1427.1713079498984</v>
      </c>
    </row>
    <row r="25" spans="1:4" ht="49.5" customHeight="1" x14ac:dyDescent="0.2">
      <c r="A25" t="s">
        <v>1109</v>
      </c>
      <c r="B25" s="357" t="s">
        <v>730</v>
      </c>
      <c r="C25" s="75"/>
      <c r="D25" s="133" t="s">
        <v>987</v>
      </c>
    </row>
    <row r="26" spans="1:4" ht="30" customHeight="1" x14ac:dyDescent="0.2">
      <c r="A26" t="s">
        <v>1109</v>
      </c>
      <c r="B26" s="357" t="s">
        <v>740</v>
      </c>
      <c r="C26" s="75"/>
      <c r="D26" s="133"/>
    </row>
    <row r="27" spans="1:4" ht="30" customHeight="1" x14ac:dyDescent="0.2">
      <c r="A27" t="s">
        <v>1109</v>
      </c>
      <c r="B27" s="357" t="s">
        <v>731</v>
      </c>
      <c r="C27" s="75"/>
      <c r="D27" s="133"/>
    </row>
    <row r="28" spans="1:4" ht="30" customHeight="1" x14ac:dyDescent="0.2">
      <c r="A28" t="s">
        <v>1109</v>
      </c>
      <c r="B28" s="357" t="s">
        <v>739</v>
      </c>
      <c r="C28" s="3">
        <v>1</v>
      </c>
    </row>
    <row r="29" spans="1:4" ht="30" customHeight="1" x14ac:dyDescent="0.2">
      <c r="A29" t="s">
        <v>1109</v>
      </c>
      <c r="B29" s="357" t="s">
        <v>732</v>
      </c>
      <c r="C29" s="3">
        <v>1</v>
      </c>
    </row>
    <row r="30" spans="1:4" ht="30" customHeight="1" x14ac:dyDescent="0.2">
      <c r="A30" t="s">
        <v>1109</v>
      </c>
      <c r="B30" s="357" t="s">
        <v>738</v>
      </c>
      <c r="C30" s="173">
        <v>1</v>
      </c>
    </row>
    <row r="31" spans="1:4" ht="30" customHeight="1" x14ac:dyDescent="0.2">
      <c r="A31" t="s">
        <v>1109</v>
      </c>
      <c r="B31" s="357" t="s">
        <v>1016</v>
      </c>
      <c r="C31" s="173">
        <v>0.3</v>
      </c>
    </row>
    <row r="32" spans="1:4" ht="30" customHeight="1" x14ac:dyDescent="0.2">
      <c r="A32" t="s">
        <v>1109</v>
      </c>
      <c r="B32" s="357" t="s">
        <v>1017</v>
      </c>
      <c r="C32" s="173"/>
    </row>
    <row r="33" spans="1:5" ht="21.75" customHeight="1" x14ac:dyDescent="0.2">
      <c r="A33" t="s">
        <v>1109</v>
      </c>
      <c r="B33" s="286" t="s">
        <v>741</v>
      </c>
    </row>
    <row r="34" spans="1:5" ht="34" customHeight="1" x14ac:dyDescent="0.2">
      <c r="A34" t="s">
        <v>1109</v>
      </c>
      <c r="B34" s="357" t="s">
        <v>737</v>
      </c>
    </row>
    <row r="35" spans="1:5" ht="26.5" customHeight="1" x14ac:dyDescent="0.2">
      <c r="A35" t="s">
        <v>1109</v>
      </c>
      <c r="B35" s="354" t="s">
        <v>744</v>
      </c>
    </row>
    <row r="36" spans="1:5" ht="24" customHeight="1" x14ac:dyDescent="0.2">
      <c r="A36" t="s">
        <v>1109</v>
      </c>
      <c r="B36" s="138" t="s">
        <v>745</v>
      </c>
    </row>
    <row r="37" spans="1:5" ht="22.5" customHeight="1" x14ac:dyDescent="0.2">
      <c r="A37" t="s">
        <v>1109</v>
      </c>
      <c r="B37" s="357" t="s">
        <v>736</v>
      </c>
    </row>
    <row r="38" spans="1:5" ht="22.5" customHeight="1" x14ac:dyDescent="0.2">
      <c r="A38" t="s">
        <v>1109</v>
      </c>
      <c r="B38" s="357" t="s">
        <v>743</v>
      </c>
    </row>
    <row r="39" spans="1:5" ht="22.5" customHeight="1" x14ac:dyDescent="0.2">
      <c r="A39" t="s">
        <v>1109</v>
      </c>
      <c r="B39" s="357" t="s">
        <v>746</v>
      </c>
    </row>
    <row r="40" spans="1:5" ht="32" x14ac:dyDescent="0.2">
      <c r="A40" t="s">
        <v>1109</v>
      </c>
      <c r="B40" s="359" t="s">
        <v>742</v>
      </c>
    </row>
    <row r="41" spans="1:5" x14ac:dyDescent="0.2">
      <c r="A41" t="s">
        <v>1109</v>
      </c>
    </row>
    <row r="42" spans="1:5" x14ac:dyDescent="0.2">
      <c r="B42" s="104" t="s">
        <v>1018</v>
      </c>
    </row>
    <row r="43" spans="1:5" x14ac:dyDescent="0.2">
      <c r="A43" t="s">
        <v>1110</v>
      </c>
      <c r="B43" s="104" t="s">
        <v>1019</v>
      </c>
      <c r="C43" s="173">
        <v>0.89</v>
      </c>
      <c r="D43" t="s">
        <v>1022</v>
      </c>
    </row>
    <row r="44" spans="1:5" ht="19.5" customHeight="1" x14ac:dyDescent="0.2">
      <c r="A44" t="s">
        <v>1111</v>
      </c>
      <c r="B44" s="104" t="s">
        <v>1020</v>
      </c>
      <c r="C44" s="145">
        <v>0.69899999999999995</v>
      </c>
      <c r="D44" s="250" t="s">
        <v>1021</v>
      </c>
    </row>
    <row r="45" spans="1:5" x14ac:dyDescent="0.2">
      <c r="A45" t="s">
        <v>1112</v>
      </c>
      <c r="B45" s="104" t="s">
        <v>1118</v>
      </c>
      <c r="C45" s="145">
        <v>0.56799999999999995</v>
      </c>
      <c r="D45" t="s">
        <v>648</v>
      </c>
    </row>
    <row r="46" spans="1:5" ht="15" customHeight="1" x14ac:dyDescent="0.2">
      <c r="A46" t="s">
        <v>1113</v>
      </c>
      <c r="B46" s="104" t="s">
        <v>1119</v>
      </c>
      <c r="C46" s="3" t="s">
        <v>1023</v>
      </c>
      <c r="D46" s="250" t="s">
        <v>1120</v>
      </c>
    </row>
    <row r="47" spans="1:5" ht="16" x14ac:dyDescent="0.2">
      <c r="A47" t="s">
        <v>1114</v>
      </c>
      <c r="B47" s="104" t="s">
        <v>1024</v>
      </c>
      <c r="C47" s="145">
        <v>7.1999999999999998E-3</v>
      </c>
      <c r="D47" s="250" t="s">
        <v>1025</v>
      </c>
    </row>
    <row r="48" spans="1:5" ht="16" x14ac:dyDescent="0.2">
      <c r="A48" t="s">
        <v>1115</v>
      </c>
      <c r="B48" s="104" t="s">
        <v>1028</v>
      </c>
      <c r="C48" s="3" t="s">
        <v>1030</v>
      </c>
      <c r="D48" s="250" t="s">
        <v>1026</v>
      </c>
      <c r="E48" s="140" t="s">
        <v>1027</v>
      </c>
    </row>
    <row r="49" spans="1:4" ht="16" x14ac:dyDescent="0.2">
      <c r="A49" t="s">
        <v>1116</v>
      </c>
      <c r="B49" s="104" t="s">
        <v>1024</v>
      </c>
      <c r="C49" s="3" t="s">
        <v>1031</v>
      </c>
      <c r="D49" s="250" t="s">
        <v>1029</v>
      </c>
    </row>
    <row r="50" spans="1:4" ht="16" x14ac:dyDescent="0.2">
      <c r="A50" t="s">
        <v>1117</v>
      </c>
      <c r="B50" s="104" t="s">
        <v>1121</v>
      </c>
      <c r="D50" s="250" t="s">
        <v>1032</v>
      </c>
    </row>
    <row r="51" spans="1:4" x14ac:dyDescent="0.2">
      <c r="A51" t="s">
        <v>1122</v>
      </c>
      <c r="B51" s="104" t="s">
        <v>1033</v>
      </c>
    </row>
    <row r="52" spans="1:4" ht="16" x14ac:dyDescent="0.2">
      <c r="B52" s="104" t="s">
        <v>1034</v>
      </c>
      <c r="C52" s="145">
        <v>7.85E-2</v>
      </c>
      <c r="D52" s="250" t="s">
        <v>1035</v>
      </c>
    </row>
    <row r="53" spans="1:4" x14ac:dyDescent="0.2">
      <c r="B53" s="104" t="s">
        <v>1036</v>
      </c>
      <c r="C53" s="3" t="s">
        <v>1037</v>
      </c>
    </row>
    <row r="55" spans="1:4" ht="16" x14ac:dyDescent="0.2">
      <c r="A55" t="s">
        <v>1123</v>
      </c>
      <c r="B55" s="104" t="s">
        <v>1103</v>
      </c>
      <c r="C55" s="352">
        <v>893.20396071179425</v>
      </c>
      <c r="D55" s="250" t="s">
        <v>1035</v>
      </c>
    </row>
    <row r="56" spans="1:4" ht="16" x14ac:dyDescent="0.2">
      <c r="B56" s="104" t="s">
        <v>1104</v>
      </c>
      <c r="C56" s="352"/>
      <c r="D56" s="250" t="s">
        <v>1035</v>
      </c>
    </row>
    <row r="57" spans="1:4" ht="16" x14ac:dyDescent="0.2">
      <c r="A57" t="s">
        <v>1124</v>
      </c>
      <c r="B57" s="104" t="s">
        <v>1105</v>
      </c>
      <c r="C57" s="352">
        <v>3528.2167394737421</v>
      </c>
      <c r="D57" s="250" t="s">
        <v>1035</v>
      </c>
    </row>
    <row r="58" spans="1:4" ht="16" x14ac:dyDescent="0.2">
      <c r="A58" t="s">
        <v>1125</v>
      </c>
      <c r="B58" s="104" t="s">
        <v>1107</v>
      </c>
      <c r="C58" s="352">
        <v>3848.9637157895368</v>
      </c>
      <c r="D58" s="250" t="s">
        <v>1035</v>
      </c>
    </row>
    <row r="59" spans="1:4" ht="16" x14ac:dyDescent="0.2">
      <c r="A59" t="s">
        <v>1126</v>
      </c>
      <c r="B59" s="104" t="s">
        <v>1106</v>
      </c>
      <c r="C59" s="352">
        <v>4169.7106921053319</v>
      </c>
      <c r="D59" s="250" t="s">
        <v>1035</v>
      </c>
    </row>
    <row r="60" spans="1:4" ht="16" x14ac:dyDescent="0.2">
      <c r="A60" t="s">
        <v>1127</v>
      </c>
      <c r="B60" s="104" t="s">
        <v>1108</v>
      </c>
      <c r="C60" s="352">
        <v>4490.4576684211261</v>
      </c>
      <c r="D60" s="250" t="s">
        <v>1035</v>
      </c>
    </row>
    <row r="61" spans="1:4" ht="16" x14ac:dyDescent="0.2">
      <c r="A61" t="s">
        <v>1128</v>
      </c>
      <c r="B61" s="104" t="s">
        <v>1129</v>
      </c>
      <c r="D61" s="250" t="s">
        <v>1035</v>
      </c>
    </row>
    <row r="62" spans="1:4" ht="16" x14ac:dyDescent="0.2">
      <c r="A62" t="s">
        <v>1130</v>
      </c>
      <c r="B62" s="104" t="s">
        <v>1131</v>
      </c>
      <c r="C62" s="145">
        <v>1.4999999999999999E-2</v>
      </c>
      <c r="D62" s="250" t="s">
        <v>1035</v>
      </c>
    </row>
  </sheetData>
  <phoneticPr fontId="4" type="noConversion"/>
  <hyperlinks>
    <hyperlink ref="E48" r:id="rId1" display="https://www.nice.org.uk/guidance/TA236" xr:uid="{6967DB81-A685-4B91-9B27-288181E58E18}"/>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58EFD3-1790-4E43-B1EC-0F8ECB8EA03B}">
  <sheetPr codeName="Sheet6"/>
  <dimension ref="A1:Q159"/>
  <sheetViews>
    <sheetView showGridLines="0" zoomScale="117" zoomScaleNormal="70" workbookViewId="0">
      <pane ySplit="1" topLeftCell="A60" activePane="bottomLeft" state="frozen"/>
      <selection pane="bottomLeft" activeCell="D77" sqref="D77"/>
    </sheetView>
  </sheetViews>
  <sheetFormatPr baseColWidth="10" defaultColWidth="8.83203125" defaultRowHeight="15" x14ac:dyDescent="0.2"/>
  <cols>
    <col min="1" max="1" width="28" style="104" customWidth="1"/>
    <col min="2" max="2" width="32.83203125" customWidth="1"/>
    <col min="3" max="3" width="11.1640625" style="3" customWidth="1"/>
    <col min="4" max="4" width="19.5" style="75" customWidth="1"/>
    <col min="5" max="5" width="12.83203125" style="80" customWidth="1"/>
    <col min="6" max="6" width="10.5" style="75" customWidth="1"/>
    <col min="7" max="8" width="9.1640625" style="75" customWidth="1"/>
    <col min="9" max="9" width="29.1640625" style="104" customWidth="1"/>
    <col min="10" max="10" width="23.83203125" style="3" customWidth="1"/>
    <col min="11" max="11" width="52.5" style="104" customWidth="1"/>
    <col min="13" max="13" width="11.5" customWidth="1"/>
    <col min="15" max="15" width="8.1640625" customWidth="1"/>
    <col min="16" max="16" width="15.5" customWidth="1"/>
    <col min="17" max="17" width="8.83203125" customWidth="1"/>
    <col min="1999" max="2001" width="2.5" customWidth="1"/>
  </cols>
  <sheetData>
    <row r="1" spans="1:17" s="238" customFormat="1" ht="32.25" customHeight="1" x14ac:dyDescent="0.2">
      <c r="A1" s="237" t="s">
        <v>913</v>
      </c>
      <c r="B1" s="237" t="s">
        <v>1082</v>
      </c>
      <c r="C1" s="237" t="s">
        <v>817</v>
      </c>
      <c r="D1" s="237" t="s">
        <v>468</v>
      </c>
      <c r="E1" s="287" t="s">
        <v>387</v>
      </c>
      <c r="F1" s="237" t="s">
        <v>377</v>
      </c>
      <c r="G1" s="237" t="s">
        <v>333</v>
      </c>
      <c r="H1" s="237" t="s">
        <v>334</v>
      </c>
      <c r="I1" s="237" t="s">
        <v>458</v>
      </c>
      <c r="J1" s="237" t="s">
        <v>383</v>
      </c>
      <c r="K1" s="294" t="s">
        <v>622</v>
      </c>
    </row>
    <row r="2" spans="1:17" ht="7.5" customHeight="1" x14ac:dyDescent="0.2">
      <c r="A2" s="291"/>
      <c r="B2" s="291"/>
      <c r="C2" s="291"/>
      <c r="D2" s="291"/>
      <c r="E2" s="292"/>
      <c r="F2" s="291"/>
      <c r="G2" s="293"/>
      <c r="H2" s="293"/>
      <c r="I2" s="342"/>
      <c r="J2" s="291"/>
    </row>
    <row r="3" spans="1:17" s="86" customFormat="1" ht="18" customHeight="1" x14ac:dyDescent="0.2">
      <c r="A3" s="295" t="s">
        <v>1317</v>
      </c>
      <c r="B3" s="296" t="s">
        <v>327</v>
      </c>
      <c r="C3" s="296" t="s">
        <v>860</v>
      </c>
      <c r="D3" s="297">
        <v>62</v>
      </c>
      <c r="E3" s="297" t="s">
        <v>350</v>
      </c>
      <c r="F3" s="296"/>
      <c r="G3" s="296"/>
      <c r="H3" s="296"/>
      <c r="I3" s="302"/>
      <c r="J3" s="101" t="s">
        <v>345</v>
      </c>
      <c r="K3" s="298" t="s">
        <v>696</v>
      </c>
    </row>
    <row r="4" spans="1:17" s="86" customFormat="1" ht="21" customHeight="1" x14ac:dyDescent="0.2">
      <c r="A4" s="299" t="s">
        <v>1318</v>
      </c>
      <c r="B4" s="296" t="s">
        <v>327</v>
      </c>
      <c r="C4" s="296" t="s">
        <v>860</v>
      </c>
      <c r="D4" s="297">
        <v>69</v>
      </c>
      <c r="E4" s="297" t="s">
        <v>350</v>
      </c>
      <c r="F4" s="296"/>
      <c r="G4" s="296"/>
      <c r="H4" s="296"/>
      <c r="I4" s="302"/>
      <c r="J4" s="101" t="s">
        <v>621</v>
      </c>
      <c r="K4" s="300" t="s">
        <v>618</v>
      </c>
    </row>
    <row r="5" spans="1:17" s="86" customFormat="1" ht="14.5" customHeight="1" x14ac:dyDescent="0.2">
      <c r="A5" s="299" t="s">
        <v>1003</v>
      </c>
      <c r="B5" s="296" t="s">
        <v>825</v>
      </c>
      <c r="C5" s="296" t="s">
        <v>860</v>
      </c>
      <c r="D5" s="297">
        <v>1000</v>
      </c>
      <c r="E5" s="297" t="s">
        <v>350</v>
      </c>
      <c r="F5" s="296"/>
      <c r="G5" s="296"/>
      <c r="H5" s="296"/>
      <c r="I5" s="302"/>
      <c r="J5" s="101" t="s">
        <v>345</v>
      </c>
      <c r="K5" s="298" t="s">
        <v>696</v>
      </c>
    </row>
    <row r="6" spans="1:17" s="86" customFormat="1" x14ac:dyDescent="0.2">
      <c r="A6" s="301" t="s">
        <v>1316</v>
      </c>
      <c r="B6" s="302" t="s">
        <v>478</v>
      </c>
      <c r="C6" s="101" t="s">
        <v>818</v>
      </c>
      <c r="D6" s="303">
        <v>0.75</v>
      </c>
      <c r="E6" s="304" t="s">
        <v>350</v>
      </c>
      <c r="F6" s="101"/>
      <c r="G6" s="101"/>
      <c r="H6" s="101"/>
      <c r="I6" s="302"/>
      <c r="J6" s="101" t="s">
        <v>345</v>
      </c>
      <c r="K6" s="298" t="s">
        <v>696</v>
      </c>
    </row>
    <row r="7" spans="1:17" s="86" customFormat="1" ht="14.5" customHeight="1" x14ac:dyDescent="0.2">
      <c r="A7" s="305" t="s">
        <v>869</v>
      </c>
      <c r="B7" s="86" t="s">
        <v>601</v>
      </c>
      <c r="C7" s="101" t="s">
        <v>818</v>
      </c>
      <c r="D7" s="306">
        <v>0.219</v>
      </c>
      <c r="E7" s="101">
        <v>16265</v>
      </c>
      <c r="F7" s="101"/>
      <c r="G7" s="101"/>
      <c r="H7" s="296" t="s">
        <v>350</v>
      </c>
      <c r="I7" s="302"/>
      <c r="J7" s="101" t="s">
        <v>621</v>
      </c>
      <c r="K7" s="300" t="s">
        <v>618</v>
      </c>
      <c r="L7" s="307"/>
      <c r="M7" s="307"/>
      <c r="N7" s="307"/>
      <c r="O7" s="307"/>
      <c r="P7" s="307"/>
    </row>
    <row r="8" spans="1:17" s="86" customFormat="1" ht="14.5" customHeight="1" x14ac:dyDescent="0.2">
      <c r="A8" s="305" t="s">
        <v>870</v>
      </c>
      <c r="B8" s="86" t="s">
        <v>600</v>
      </c>
      <c r="C8" s="101" t="s">
        <v>818</v>
      </c>
      <c r="D8" s="306">
        <v>0.55200000000000005</v>
      </c>
      <c r="E8" s="101">
        <v>16265</v>
      </c>
      <c r="F8" s="296" t="s">
        <v>350</v>
      </c>
      <c r="G8" s="296" t="s">
        <v>350</v>
      </c>
      <c r="H8" s="296" t="s">
        <v>350</v>
      </c>
      <c r="I8" s="302"/>
      <c r="J8" s="101" t="s">
        <v>621</v>
      </c>
      <c r="K8" s="300" t="s">
        <v>619</v>
      </c>
    </row>
    <row r="9" spans="1:17" s="86" customFormat="1" ht="13.5" customHeight="1" x14ac:dyDescent="0.2">
      <c r="A9" s="305" t="s">
        <v>871</v>
      </c>
      <c r="B9" s="86" t="s">
        <v>602</v>
      </c>
      <c r="C9" s="101" t="s">
        <v>818</v>
      </c>
      <c r="D9" s="306">
        <v>0.22900000000000001</v>
      </c>
      <c r="E9" s="101">
        <v>16265</v>
      </c>
      <c r="F9" s="296" t="s">
        <v>350</v>
      </c>
      <c r="G9" s="296" t="s">
        <v>350</v>
      </c>
      <c r="H9" s="296" t="s">
        <v>350</v>
      </c>
      <c r="I9" s="302"/>
      <c r="J9" s="101" t="s">
        <v>621</v>
      </c>
      <c r="K9" s="300" t="s">
        <v>620</v>
      </c>
    </row>
    <row r="10" spans="1:17" s="86" customFormat="1" ht="13.5" customHeight="1" x14ac:dyDescent="0.2">
      <c r="A10" s="305" t="s">
        <v>914</v>
      </c>
      <c r="B10" s="86" t="s">
        <v>853</v>
      </c>
      <c r="C10" s="101" t="s">
        <v>855</v>
      </c>
      <c r="D10" s="306">
        <v>0.93</v>
      </c>
      <c r="E10" s="101">
        <v>235</v>
      </c>
      <c r="F10" s="296" t="s">
        <v>350</v>
      </c>
      <c r="G10" s="296" t="s">
        <v>350</v>
      </c>
      <c r="H10" s="296" t="s">
        <v>350</v>
      </c>
      <c r="I10" s="101" t="s">
        <v>1275</v>
      </c>
      <c r="J10" s="101" t="s">
        <v>1310</v>
      </c>
      <c r="K10" s="499" t="s">
        <v>1309</v>
      </c>
    </row>
    <row r="11" spans="1:17" s="86" customFormat="1" ht="13.5" customHeight="1" x14ac:dyDescent="0.2">
      <c r="A11" s="305" t="s">
        <v>915</v>
      </c>
      <c r="B11" s="86" t="s">
        <v>854</v>
      </c>
      <c r="C11" s="101" t="s">
        <v>855</v>
      </c>
      <c r="D11" s="306">
        <v>0.93</v>
      </c>
      <c r="E11" s="308">
        <v>235</v>
      </c>
      <c r="F11" s="296" t="s">
        <v>350</v>
      </c>
      <c r="G11" s="296" t="s">
        <v>350</v>
      </c>
      <c r="H11" s="296" t="s">
        <v>350</v>
      </c>
      <c r="I11" s="101" t="s">
        <v>1311</v>
      </c>
      <c r="J11" s="101" t="s">
        <v>1310</v>
      </c>
      <c r="K11" s="499" t="s">
        <v>1309</v>
      </c>
    </row>
    <row r="12" spans="1:17" ht="8.25" customHeight="1" x14ac:dyDescent="0.2">
      <c r="A12" s="266"/>
      <c r="D12" s="78"/>
    </row>
    <row r="13" spans="1:17" s="86" customFormat="1" x14ac:dyDescent="0.2">
      <c r="A13" s="305" t="s">
        <v>872</v>
      </c>
      <c r="B13" s="302" t="s">
        <v>603</v>
      </c>
      <c r="C13" s="101" t="s">
        <v>796</v>
      </c>
      <c r="D13" s="310">
        <v>9.7253633201505679E-2</v>
      </c>
      <c r="E13" s="311">
        <v>41974</v>
      </c>
      <c r="F13" s="310">
        <v>1.99E-3</v>
      </c>
      <c r="G13" s="310">
        <v>9.3474007719064167E-2</v>
      </c>
      <c r="H13" s="310">
        <v>0.10129313384476103</v>
      </c>
      <c r="I13" s="343" t="s">
        <v>718</v>
      </c>
      <c r="J13" s="101" t="s">
        <v>328</v>
      </c>
      <c r="K13" s="575" t="s">
        <v>624</v>
      </c>
      <c r="L13" s="575"/>
      <c r="M13" s="575"/>
      <c r="N13" s="575"/>
      <c r="O13" s="575"/>
      <c r="P13" s="575"/>
      <c r="Q13" s="576"/>
    </row>
    <row r="14" spans="1:17" s="86" customFormat="1" ht="16" x14ac:dyDescent="0.2">
      <c r="A14" s="305" t="s">
        <v>873</v>
      </c>
      <c r="B14" s="302" t="s">
        <v>595</v>
      </c>
      <c r="C14" s="101" t="s">
        <v>796</v>
      </c>
      <c r="D14" s="310">
        <v>6.5500000000000003E-2</v>
      </c>
      <c r="E14" s="311">
        <v>1648</v>
      </c>
      <c r="F14" s="310">
        <v>6.0958802523251596E-3</v>
      </c>
      <c r="G14" s="310">
        <v>5.3586055287966901E-2</v>
      </c>
      <c r="H14" s="310">
        <v>7.7481905877081494E-2</v>
      </c>
      <c r="I14" s="343" t="s">
        <v>718</v>
      </c>
      <c r="J14" s="101" t="s">
        <v>353</v>
      </c>
      <c r="K14" s="300" t="s">
        <v>628</v>
      </c>
    </row>
    <row r="15" spans="1:17" s="86" customFormat="1" ht="16" x14ac:dyDescent="0.2">
      <c r="A15" s="305" t="s">
        <v>874</v>
      </c>
      <c r="B15" s="302" t="s">
        <v>596</v>
      </c>
      <c r="C15" s="101" t="s">
        <v>796</v>
      </c>
      <c r="D15" s="320">
        <v>1.24E-2</v>
      </c>
      <c r="E15" s="311">
        <v>11653</v>
      </c>
      <c r="F15" s="310">
        <v>1.0260441208098795E-3</v>
      </c>
      <c r="G15" s="310">
        <v>1.1299999999999999E-2</v>
      </c>
      <c r="H15" s="310">
        <v>1.2699999999999999E-2</v>
      </c>
      <c r="I15" s="343" t="s">
        <v>718</v>
      </c>
      <c r="J15" s="101" t="s">
        <v>384</v>
      </c>
      <c r="K15" s="300" t="s">
        <v>697</v>
      </c>
      <c r="L15" s="313"/>
    </row>
    <row r="16" spans="1:17" s="86" customFormat="1" x14ac:dyDescent="0.2">
      <c r="A16" s="305" t="s">
        <v>875</v>
      </c>
      <c r="B16" s="302" t="s">
        <v>597</v>
      </c>
      <c r="C16" s="101" t="s">
        <v>820</v>
      </c>
      <c r="D16" s="310">
        <v>2.1999999999999999E-2</v>
      </c>
      <c r="E16" s="311">
        <v>1023</v>
      </c>
      <c r="F16" s="310">
        <v>4.5860939877542988E-3</v>
      </c>
      <c r="G16" s="310">
        <v>1.3011255784001573E-2</v>
      </c>
      <c r="H16" s="310">
        <v>3.0988744215998426E-2</v>
      </c>
      <c r="I16" s="343" t="s">
        <v>718</v>
      </c>
      <c r="J16" s="101" t="s">
        <v>344</v>
      </c>
      <c r="K16" s="302" t="s">
        <v>629</v>
      </c>
    </row>
    <row r="17" spans="1:11" s="86" customFormat="1" x14ac:dyDescent="0.2">
      <c r="A17" s="305" t="s">
        <v>876</v>
      </c>
      <c r="B17" s="302" t="s">
        <v>598</v>
      </c>
      <c r="C17" s="101" t="s">
        <v>820</v>
      </c>
      <c r="D17" s="310">
        <v>6.0999999999999999E-2</v>
      </c>
      <c r="E17" s="311">
        <v>1023</v>
      </c>
      <c r="F17" s="310">
        <v>7.4827269324786311E-3</v>
      </c>
      <c r="G17" s="310">
        <v>4.633385521234188E-2</v>
      </c>
      <c r="H17" s="310">
        <v>7.566614478765811E-2</v>
      </c>
      <c r="I17" s="343" t="s">
        <v>718</v>
      </c>
      <c r="J17" s="101" t="s">
        <v>344</v>
      </c>
      <c r="K17" s="302" t="s">
        <v>629</v>
      </c>
    </row>
    <row r="18" spans="1:11" ht="8.25" customHeight="1" x14ac:dyDescent="0.2">
      <c r="A18" s="266"/>
      <c r="D18" s="78"/>
      <c r="F18" s="79"/>
      <c r="G18" s="79"/>
      <c r="H18" s="80"/>
      <c r="I18" s="344"/>
    </row>
    <row r="19" spans="1:11" s="86" customFormat="1" x14ac:dyDescent="0.2">
      <c r="A19" s="314" t="s">
        <v>877</v>
      </c>
      <c r="B19" s="86" t="s">
        <v>599</v>
      </c>
      <c r="C19" s="101" t="s">
        <v>819</v>
      </c>
      <c r="D19" s="310">
        <f>prob_dead_at</f>
        <v>7.6598682607015037E-2</v>
      </c>
      <c r="E19" s="315">
        <v>4012</v>
      </c>
      <c r="F19" s="310">
        <v>4.1988023630102362E-3</v>
      </c>
      <c r="G19" s="310">
        <v>6.8369029975514972E-2</v>
      </c>
      <c r="H19" s="310">
        <v>8.4828335238515101E-2</v>
      </c>
      <c r="I19" s="343" t="s">
        <v>719</v>
      </c>
      <c r="J19" s="101" t="s">
        <v>366</v>
      </c>
      <c r="K19" s="298" t="s">
        <v>696</v>
      </c>
    </row>
    <row r="20" spans="1:11" s="86" customFormat="1" x14ac:dyDescent="0.2">
      <c r="A20" s="314" t="s">
        <v>878</v>
      </c>
      <c r="B20" s="86" t="s">
        <v>604</v>
      </c>
      <c r="C20" s="101" t="s">
        <v>819</v>
      </c>
      <c r="D20" s="310">
        <f>prob_mi_at</f>
        <v>5.4350795883466051E-2</v>
      </c>
      <c r="E20" s="315">
        <v>4237</v>
      </c>
      <c r="F20" s="310">
        <v>3.4837434784263611E-3</v>
      </c>
      <c r="G20" s="310">
        <v>4.7551191760031537E-2</v>
      </c>
      <c r="H20" s="310">
        <v>6.1207466195462877E-2</v>
      </c>
      <c r="I20" s="343" t="s">
        <v>719</v>
      </c>
      <c r="J20" s="101" t="s">
        <v>366</v>
      </c>
      <c r="K20" s="298" t="s">
        <v>696</v>
      </c>
    </row>
    <row r="21" spans="1:11" s="86" customFormat="1" x14ac:dyDescent="0.2">
      <c r="A21" s="314" t="s">
        <v>1195</v>
      </c>
      <c r="B21" s="86" t="s">
        <v>808</v>
      </c>
      <c r="C21" s="101" t="s">
        <v>819</v>
      </c>
      <c r="D21" s="325">
        <f>prob_stk_at</f>
        <v>1.3989449008198778E-2</v>
      </c>
      <c r="E21" s="315">
        <v>4387</v>
      </c>
      <c r="F21" s="310">
        <v>1.780220539464367E-3</v>
      </c>
      <c r="G21" s="310">
        <v>1.0612851855965701E-2</v>
      </c>
      <c r="H21" s="310">
        <v>1.7591316370666018E-2</v>
      </c>
      <c r="I21" s="343" t="s">
        <v>719</v>
      </c>
      <c r="J21" s="101" t="s">
        <v>366</v>
      </c>
      <c r="K21" s="298" t="s">
        <v>696</v>
      </c>
    </row>
    <row r="22" spans="1:11" s="86" customFormat="1" x14ac:dyDescent="0.2">
      <c r="A22" s="314" t="s">
        <v>879</v>
      </c>
      <c r="B22" s="86" t="s">
        <v>605</v>
      </c>
      <c r="C22" s="101" t="s">
        <v>820</v>
      </c>
      <c r="D22" s="310">
        <f>prob_maj_bleed_at</f>
        <v>2.2859883302693625E-2</v>
      </c>
      <c r="E22" s="315">
        <v>4387</v>
      </c>
      <c r="F22" s="310">
        <v>4.6728044790044203E-3</v>
      </c>
      <c r="G22" s="310">
        <v>1.3701186523844961E-2</v>
      </c>
      <c r="H22" s="310">
        <v>3.2018580081542292E-2</v>
      </c>
      <c r="I22" s="343" t="s">
        <v>719</v>
      </c>
      <c r="J22" s="101" t="s">
        <v>366</v>
      </c>
      <c r="K22" s="298" t="s">
        <v>696</v>
      </c>
    </row>
    <row r="23" spans="1:11" s="86" customFormat="1" x14ac:dyDescent="0.2">
      <c r="A23" s="314" t="s">
        <v>880</v>
      </c>
      <c r="B23" s="86" t="s">
        <v>606</v>
      </c>
      <c r="C23" s="101" t="s">
        <v>820</v>
      </c>
      <c r="D23" s="310">
        <f>prob_min_bleed_at</f>
        <v>8.1725456447969344E-2</v>
      </c>
      <c r="E23" s="315">
        <v>4387</v>
      </c>
      <c r="F23" s="310">
        <v>8.7797373244725332E-3</v>
      </c>
      <c r="G23" s="310">
        <v>6.9097038299762895E-2</v>
      </c>
      <c r="H23" s="310">
        <v>0.10351360861169522</v>
      </c>
      <c r="I23" s="343" t="s">
        <v>719</v>
      </c>
      <c r="J23" s="101" t="s">
        <v>366</v>
      </c>
      <c r="K23" s="298" t="s">
        <v>696</v>
      </c>
    </row>
    <row r="24" spans="1:11" ht="8.5" customHeight="1" x14ac:dyDescent="0.2">
      <c r="A24" s="138"/>
    </row>
    <row r="25" spans="1:11" s="86" customFormat="1" x14ac:dyDescent="0.2">
      <c r="A25" s="314" t="s">
        <v>881</v>
      </c>
      <c r="B25" s="86" t="s">
        <v>607</v>
      </c>
      <c r="C25" s="101" t="s">
        <v>819</v>
      </c>
      <c r="D25" s="310">
        <f>prob_dead_ap</f>
        <v>9.7253633201505651E-2</v>
      </c>
      <c r="E25" s="315">
        <v>1769</v>
      </c>
      <c r="F25" s="310">
        <v>7.0448520280021361E-3</v>
      </c>
      <c r="G25" s="310">
        <v>8.3445723226621471E-2</v>
      </c>
      <c r="H25" s="310">
        <v>0.11106154317638983</v>
      </c>
      <c r="I25" s="343" t="s">
        <v>719</v>
      </c>
      <c r="J25" s="101" t="s">
        <v>366</v>
      </c>
      <c r="K25" s="298" t="s">
        <v>696</v>
      </c>
    </row>
    <row r="26" spans="1:11" s="86" customFormat="1" x14ac:dyDescent="0.2">
      <c r="A26" s="314" t="s">
        <v>882</v>
      </c>
      <c r="B26" s="86" t="s">
        <v>613</v>
      </c>
      <c r="C26" s="101" t="s">
        <v>819</v>
      </c>
      <c r="D26" s="310">
        <f>prob_mi_ap</f>
        <v>4.9942813572245517E-2</v>
      </c>
      <c r="E26" s="315">
        <v>1769</v>
      </c>
      <c r="F26" s="310">
        <v>5.1803122542955935E-3</v>
      </c>
      <c r="G26" s="310">
        <v>3.9815742824270348E-2</v>
      </c>
      <c r="H26" s="310">
        <v>6.0122566861109075E-2</v>
      </c>
      <c r="I26" s="343" t="s">
        <v>719</v>
      </c>
      <c r="J26" s="101" t="s">
        <v>366</v>
      </c>
      <c r="K26" s="298" t="s">
        <v>696</v>
      </c>
    </row>
    <row r="27" spans="1:11" s="86" customFormat="1" x14ac:dyDescent="0.2">
      <c r="A27" s="314" t="s">
        <v>883</v>
      </c>
      <c r="B27" s="86" t="s">
        <v>809</v>
      </c>
      <c r="C27" s="101" t="s">
        <v>819</v>
      </c>
      <c r="D27" s="320">
        <f>prob_stk_ap</f>
        <v>1.1542018472033721E-2</v>
      </c>
      <c r="E27" s="315">
        <v>1769</v>
      </c>
      <c r="F27" s="310">
        <v>2.5496542457632007E-3</v>
      </c>
      <c r="G27" s="310">
        <v>6.6378584614894126E-3</v>
      </c>
      <c r="H27" s="310">
        <v>1.6632503104881159E-2</v>
      </c>
      <c r="I27" s="343" t="s">
        <v>719</v>
      </c>
      <c r="J27" s="101" t="s">
        <v>366</v>
      </c>
      <c r="K27" s="298" t="s">
        <v>696</v>
      </c>
    </row>
    <row r="28" spans="1:11" s="86" customFormat="1" x14ac:dyDescent="0.2">
      <c r="A28" s="314" t="s">
        <v>884</v>
      </c>
      <c r="B28" s="86" t="s">
        <v>608</v>
      </c>
      <c r="C28" s="101" t="s">
        <v>820</v>
      </c>
      <c r="D28" s="310">
        <f>prob_maj_bleed_ap</f>
        <v>3.1165177421591746E-2</v>
      </c>
      <c r="E28" s="315">
        <v>1023</v>
      </c>
      <c r="F28" s="310">
        <v>5.4327767021908327E-3</v>
      </c>
      <c r="G28" s="310">
        <v>2.0516935085297713E-2</v>
      </c>
      <c r="H28" s="310">
        <v>4.1813419757885779E-2</v>
      </c>
      <c r="I28" s="343" t="s">
        <v>719</v>
      </c>
      <c r="J28" s="101" t="s">
        <v>366</v>
      </c>
      <c r="K28" s="298" t="s">
        <v>696</v>
      </c>
    </row>
    <row r="29" spans="1:11" s="86" customFormat="1" x14ac:dyDescent="0.2">
      <c r="A29" s="314" t="s">
        <v>885</v>
      </c>
      <c r="B29" s="86" t="s">
        <v>609</v>
      </c>
      <c r="C29" s="101" t="s">
        <v>820</v>
      </c>
      <c r="D29" s="310">
        <f>prob_min_bleed_ap</f>
        <v>0.11853332957841677</v>
      </c>
      <c r="E29" s="315">
        <v>1023</v>
      </c>
      <c r="F29" s="310">
        <v>1.0336304860998012E-2</v>
      </c>
      <c r="G29" s="310">
        <v>0.10463619005877339</v>
      </c>
      <c r="H29" s="310">
        <v>0.14515450511388558</v>
      </c>
      <c r="I29" s="343" t="s">
        <v>719</v>
      </c>
      <c r="J29" s="101" t="s">
        <v>366</v>
      </c>
      <c r="K29" s="298" t="s">
        <v>696</v>
      </c>
    </row>
    <row r="30" spans="1:11" ht="8.25" customHeight="1" x14ac:dyDescent="0.2">
      <c r="A30" s="138"/>
    </row>
    <row r="31" spans="1:11" s="86" customFormat="1" x14ac:dyDescent="0.2">
      <c r="A31" s="316" t="s">
        <v>916</v>
      </c>
      <c r="B31" s="86" t="s">
        <v>403</v>
      </c>
      <c r="C31" s="101" t="s">
        <v>818</v>
      </c>
      <c r="D31" s="317">
        <v>0.29699999999999999</v>
      </c>
      <c r="E31" s="308" t="s">
        <v>350</v>
      </c>
      <c r="F31" s="296" t="s">
        <v>350</v>
      </c>
      <c r="G31" s="296" t="s">
        <v>350</v>
      </c>
      <c r="H31" s="296" t="s">
        <v>350</v>
      </c>
      <c r="I31" s="302" t="s">
        <v>694</v>
      </c>
      <c r="J31" s="101" t="s">
        <v>402</v>
      </c>
      <c r="K31" s="318" t="s">
        <v>650</v>
      </c>
    </row>
    <row r="32" spans="1:11" s="86" customFormat="1" x14ac:dyDescent="0.2">
      <c r="A32" s="316" t="s">
        <v>917</v>
      </c>
      <c r="B32" s="86" t="s">
        <v>404</v>
      </c>
      <c r="C32" s="101" t="s">
        <v>818</v>
      </c>
      <c r="D32" s="317">
        <v>0.56799999999999995</v>
      </c>
      <c r="E32" s="308" t="s">
        <v>350</v>
      </c>
      <c r="F32" s="296" t="s">
        <v>350</v>
      </c>
      <c r="G32" s="296" t="s">
        <v>350</v>
      </c>
      <c r="H32" s="296" t="s">
        <v>350</v>
      </c>
      <c r="I32" s="302" t="s">
        <v>695</v>
      </c>
      <c r="J32" s="101" t="s">
        <v>402</v>
      </c>
      <c r="K32" s="318" t="s">
        <v>650</v>
      </c>
    </row>
    <row r="33" spans="1:11" s="86" customFormat="1" ht="16" x14ac:dyDescent="0.2">
      <c r="A33" s="319" t="s">
        <v>886</v>
      </c>
      <c r="B33" s="86" t="s">
        <v>844</v>
      </c>
      <c r="C33" s="101" t="s">
        <v>818</v>
      </c>
      <c r="D33" s="311">
        <f>prop_at_st/(prop_at_st+prop_ap_st)</f>
        <v>0.70678617157490398</v>
      </c>
      <c r="E33" s="308" t="s">
        <v>350</v>
      </c>
      <c r="F33" s="296"/>
      <c r="G33" s="296"/>
      <c r="H33" s="296"/>
      <c r="I33" s="302"/>
      <c r="J33" s="101" t="s">
        <v>621</v>
      </c>
      <c r="K33" s="300" t="s">
        <v>618</v>
      </c>
    </row>
    <row r="34" spans="1:11" s="86" customFormat="1" ht="16" x14ac:dyDescent="0.2">
      <c r="A34" s="319" t="s">
        <v>887</v>
      </c>
      <c r="B34" s="86" t="s">
        <v>845</v>
      </c>
      <c r="C34" s="101" t="s">
        <v>818</v>
      </c>
      <c r="D34" s="311">
        <f>1-prop_at_lof</f>
        <v>0.29321382842509602</v>
      </c>
      <c r="E34" s="308" t="s">
        <v>350</v>
      </c>
      <c r="F34" s="296"/>
      <c r="G34" s="296"/>
      <c r="H34" s="296"/>
      <c r="I34" s="302"/>
      <c r="J34" s="101" t="s">
        <v>621</v>
      </c>
      <c r="K34" s="300" t="s">
        <v>619</v>
      </c>
    </row>
    <row r="35" spans="1:11" ht="8.25" customHeight="1" x14ac:dyDescent="0.2">
      <c r="A35" s="138"/>
    </row>
    <row r="36" spans="1:11" s="86" customFormat="1" x14ac:dyDescent="0.2">
      <c r="A36" s="314" t="s">
        <v>918</v>
      </c>
      <c r="B36" s="86" t="s">
        <v>610</v>
      </c>
      <c r="C36" s="101" t="s">
        <v>819</v>
      </c>
      <c r="D36" s="310">
        <f>RR_dead_ac_nlof*prob_dead_at</f>
        <v>7.6598682607015037E-2</v>
      </c>
      <c r="E36" s="315">
        <v>2561</v>
      </c>
      <c r="F36" s="320">
        <v>4.3765818891637878E-3</v>
      </c>
      <c r="G36" s="308">
        <v>4.1837302142202999E-2</v>
      </c>
      <c r="H36" s="308">
        <v>0.13241651484368189</v>
      </c>
      <c r="I36" s="101" t="s">
        <v>593</v>
      </c>
      <c r="J36" s="101" t="s">
        <v>1293</v>
      </c>
      <c r="K36" s="86" t="s">
        <v>1250</v>
      </c>
    </row>
    <row r="37" spans="1:11" s="86" customFormat="1" x14ac:dyDescent="0.2">
      <c r="A37" s="314" t="s">
        <v>919</v>
      </c>
      <c r="B37" s="86" t="s">
        <v>856</v>
      </c>
      <c r="C37" s="101" t="s">
        <v>819</v>
      </c>
      <c r="D37" s="310">
        <f>rr_mi_ac_nlof*prob_mi_at</f>
        <v>5.4350795883466051E-2</v>
      </c>
      <c r="E37" s="315">
        <v>2696</v>
      </c>
      <c r="F37" s="320">
        <v>3.7395739072244466E-3</v>
      </c>
      <c r="G37" s="308">
        <v>3.1152349721279032E-2</v>
      </c>
      <c r="H37" s="308">
        <v>9.9540520033145841E-2</v>
      </c>
      <c r="I37" s="101" t="s">
        <v>593</v>
      </c>
      <c r="J37" s="101" t="s">
        <v>1293</v>
      </c>
      <c r="K37" s="86" t="s">
        <v>1294</v>
      </c>
    </row>
    <row r="38" spans="1:11" s="86" customFormat="1" x14ac:dyDescent="0.2">
      <c r="A38" s="314" t="s">
        <v>920</v>
      </c>
      <c r="B38" s="86" t="s">
        <v>810</v>
      </c>
      <c r="C38" s="101" t="s">
        <v>819</v>
      </c>
      <c r="D38" s="310">
        <f>rr_stk_ac_nlof*prob_stk_ac</f>
        <v>1.24E-2</v>
      </c>
      <c r="E38" s="315">
        <v>2696</v>
      </c>
      <c r="F38" s="320">
        <v>1.8404033712138971E-3</v>
      </c>
      <c r="G38" s="308">
        <v>5.6093337103422878E-3</v>
      </c>
      <c r="H38" s="308">
        <v>2.0210818390192412E-2</v>
      </c>
      <c r="I38" s="101" t="s">
        <v>593</v>
      </c>
      <c r="J38" s="101" t="s">
        <v>1293</v>
      </c>
      <c r="K38" s="86" t="s">
        <v>1295</v>
      </c>
    </row>
    <row r="39" spans="1:11" s="86" customFormat="1" x14ac:dyDescent="0.2">
      <c r="A39" s="314" t="s">
        <v>921</v>
      </c>
      <c r="B39" s="86" t="s">
        <v>611</v>
      </c>
      <c r="C39" s="101" t="s">
        <v>923</v>
      </c>
      <c r="D39" s="310">
        <f>rr_maj_bleed_ac_nlof*prob_maj_bleed_ac</f>
        <v>2.1999999999999999E-2</v>
      </c>
      <c r="E39" s="315">
        <v>1023</v>
      </c>
      <c r="F39" s="310">
        <v>4.5860939877542988E-3</v>
      </c>
      <c r="G39" s="310">
        <v>1.3011255784001573E-2</v>
      </c>
      <c r="H39" s="310">
        <v>3.0988744215998426E-2</v>
      </c>
      <c r="I39" s="101" t="s">
        <v>593</v>
      </c>
      <c r="J39" s="101" t="s">
        <v>344</v>
      </c>
      <c r="K39" s="302" t="s">
        <v>629</v>
      </c>
    </row>
    <row r="40" spans="1:11" s="86" customFormat="1" x14ac:dyDescent="0.2">
      <c r="A40" s="314" t="s">
        <v>922</v>
      </c>
      <c r="B40" s="86" t="s">
        <v>612</v>
      </c>
      <c r="C40" s="101" t="s">
        <v>924</v>
      </c>
      <c r="D40" s="310">
        <f>rr_min_bleed_ac_nlof*prob_min_bleed_ac</f>
        <v>6.0999999999999999E-2</v>
      </c>
      <c r="E40" s="315">
        <v>1023</v>
      </c>
      <c r="F40" s="310">
        <v>7.4827269324786311E-3</v>
      </c>
      <c r="G40" s="310">
        <v>4.633385521234188E-2</v>
      </c>
      <c r="H40" s="310">
        <v>7.566614478765811E-2</v>
      </c>
      <c r="I40" s="101" t="s">
        <v>593</v>
      </c>
      <c r="J40" s="101" t="s">
        <v>344</v>
      </c>
      <c r="K40" s="302" t="s">
        <v>629</v>
      </c>
    </row>
    <row r="41" spans="1:11" ht="8.25" customHeight="1" x14ac:dyDescent="0.2">
      <c r="A41" s="138"/>
      <c r="I41" s="3"/>
    </row>
    <row r="42" spans="1:11" s="86" customFormat="1" ht="16" x14ac:dyDescent="0.2">
      <c r="A42" s="321" t="s">
        <v>888</v>
      </c>
      <c r="B42" s="86" t="s">
        <v>661</v>
      </c>
      <c r="C42" s="101" t="s">
        <v>821</v>
      </c>
      <c r="D42" s="310">
        <f>u_noevent*((((0.9508566 + (0.0212126*1) - (0.0002587*62)- (0.0000332*(62^2))))*male_proportion_STEMI)+ (((0.9508566 + (0.0212126*0) - (0.0002587*69)- (0.0000332*(69^2))))*(1-male_proportion_STEMI)))</f>
        <v>0.68626538505000001</v>
      </c>
      <c r="E42" s="310" t="s">
        <v>350</v>
      </c>
      <c r="F42" s="296">
        <v>2E-3</v>
      </c>
      <c r="G42" s="310">
        <v>0.83807999999999905</v>
      </c>
      <c r="H42" s="310">
        <v>0.84592000000000001</v>
      </c>
      <c r="I42" s="312" t="s">
        <v>459</v>
      </c>
      <c r="J42" s="101" t="s">
        <v>457</v>
      </c>
      <c r="K42" s="322" t="s">
        <v>699</v>
      </c>
    </row>
    <row r="43" spans="1:11" s="86" customFormat="1" ht="16" x14ac:dyDescent="0.2">
      <c r="A43" s="321" t="s">
        <v>889</v>
      </c>
      <c r="B43" s="86" t="s">
        <v>662</v>
      </c>
      <c r="C43" s="101" t="s">
        <v>821</v>
      </c>
      <c r="D43" s="308">
        <f>u_rinfar*((((0.9508566 + (0.0212126*1) - (0.0002587*62)- (0.0000332*(62^2))))*male_proportion_STEMI)+ (((0.9508566 + (0.0212126*0) - (0.0002587*69)- (0.0000332*(69^2))))*(1-male_proportion_STEMI)))</f>
        <v>0.63491773747500002</v>
      </c>
      <c r="E43" s="308" t="s">
        <v>350</v>
      </c>
      <c r="F43" s="296">
        <v>0.01</v>
      </c>
      <c r="G43" s="310">
        <v>0.75939999999999996</v>
      </c>
      <c r="H43" s="310">
        <v>0.79859999999999998</v>
      </c>
      <c r="I43" s="312" t="s">
        <v>459</v>
      </c>
      <c r="J43" s="101" t="s">
        <v>457</v>
      </c>
      <c r="K43" s="322" t="s">
        <v>698</v>
      </c>
    </row>
    <row r="44" spans="1:11" s="86" customFormat="1" ht="16" x14ac:dyDescent="0.2">
      <c r="A44" s="321" t="s">
        <v>890</v>
      </c>
      <c r="B44" s="86" t="s">
        <v>811</v>
      </c>
      <c r="C44" s="101" t="s">
        <v>821</v>
      </c>
      <c r="D44" s="308">
        <f>u_stk*((((0.9508566 + (0.0212126*1) - (0.0002587*62)- (0.0000332*(62^2))))*male_proportion_STEMI)+ (((0.9508566 + (0.0212126*0) - (0.0002587*69)- (0.0000332*(69^2))))*(1-male_proportion_STEMI)))</f>
        <v>0.57297454357499999</v>
      </c>
      <c r="E44" s="308" t="s">
        <v>350</v>
      </c>
      <c r="F44" s="296">
        <v>0.01</v>
      </c>
      <c r="G44" s="310">
        <v>0.68340000000000001</v>
      </c>
      <c r="H44" s="310">
        <v>0.72259999999999902</v>
      </c>
      <c r="I44" s="312" t="s">
        <v>459</v>
      </c>
      <c r="J44" s="101" t="s">
        <v>457</v>
      </c>
      <c r="K44" s="322" t="s">
        <v>700</v>
      </c>
    </row>
    <row r="45" spans="1:11" s="86" customFormat="1" ht="15" customHeight="1" x14ac:dyDescent="0.2">
      <c r="A45" s="323" t="s">
        <v>995</v>
      </c>
      <c r="B45" s="86" t="s">
        <v>509</v>
      </c>
      <c r="C45" s="101" t="s">
        <v>821</v>
      </c>
      <c r="D45" s="296">
        <v>2.5999999999999999E-2</v>
      </c>
      <c r="E45" s="308" t="s">
        <v>350</v>
      </c>
      <c r="F45" s="296">
        <v>5.0000000000000001E-3</v>
      </c>
      <c r="G45" s="296">
        <v>-4.7E-2</v>
      </c>
      <c r="H45" s="296">
        <v>-2.93E-2</v>
      </c>
      <c r="I45" s="312" t="s">
        <v>720</v>
      </c>
      <c r="J45" s="312" t="s">
        <v>703</v>
      </c>
      <c r="K45" s="322" t="s">
        <v>701</v>
      </c>
    </row>
    <row r="46" spans="1:11" s="86" customFormat="1" ht="15" customHeight="1" x14ac:dyDescent="0.2">
      <c r="A46" s="323" t="s">
        <v>996</v>
      </c>
      <c r="B46" s="86" t="s">
        <v>510</v>
      </c>
      <c r="C46" s="101" t="s">
        <v>821</v>
      </c>
      <c r="D46" s="296">
        <v>3.7999999999999999E-2</v>
      </c>
      <c r="E46" s="308" t="s">
        <v>350</v>
      </c>
      <c r="F46" s="296">
        <v>6.0000000000000001E-3</v>
      </c>
      <c r="G46" s="296">
        <v>-3.6499999999999998E-2</v>
      </c>
      <c r="H46" s="296">
        <v>-1.4800000000000001E-2</v>
      </c>
      <c r="I46" s="312" t="s">
        <v>720</v>
      </c>
      <c r="J46" s="312" t="s">
        <v>704</v>
      </c>
      <c r="K46" s="322" t="s">
        <v>702</v>
      </c>
    </row>
    <row r="47" spans="1:11" s="86" customFormat="1" ht="15" customHeight="1" x14ac:dyDescent="0.2">
      <c r="A47" s="302" t="s">
        <v>926</v>
      </c>
      <c r="B47" s="86" t="s">
        <v>511</v>
      </c>
      <c r="C47" s="101" t="s">
        <v>821</v>
      </c>
      <c r="D47" s="308">
        <v>7.6</v>
      </c>
      <c r="E47" s="308" t="s">
        <v>350</v>
      </c>
      <c r="F47" s="296" t="s">
        <v>350</v>
      </c>
      <c r="G47" s="296" t="s">
        <v>350</v>
      </c>
      <c r="H47" s="296" t="s">
        <v>350</v>
      </c>
      <c r="I47" s="312" t="s">
        <v>594</v>
      </c>
      <c r="J47" s="312" t="s">
        <v>512</v>
      </c>
      <c r="K47" s="322" t="s">
        <v>701</v>
      </c>
    </row>
    <row r="48" spans="1:11" s="86" customFormat="1" ht="15" customHeight="1" x14ac:dyDescent="0.2">
      <c r="A48" s="321" t="s">
        <v>925</v>
      </c>
      <c r="B48" s="86" t="s">
        <v>513</v>
      </c>
      <c r="C48" s="101" t="s">
        <v>821</v>
      </c>
      <c r="D48" s="308">
        <v>45.38</v>
      </c>
      <c r="E48" s="308" t="s">
        <v>350</v>
      </c>
      <c r="F48" s="296" t="s">
        <v>350</v>
      </c>
      <c r="G48" s="296" t="s">
        <v>350</v>
      </c>
      <c r="H48" s="296" t="s">
        <v>350</v>
      </c>
      <c r="I48" s="312" t="s">
        <v>594</v>
      </c>
      <c r="J48" s="312" t="s">
        <v>514</v>
      </c>
      <c r="K48" s="322" t="s">
        <v>701</v>
      </c>
    </row>
    <row r="49" spans="1:11" s="86" customFormat="1" ht="15" customHeight="1" x14ac:dyDescent="0.2">
      <c r="A49" s="324" t="s">
        <v>943</v>
      </c>
      <c r="B49" s="86" t="s">
        <v>711</v>
      </c>
      <c r="C49" s="101" t="s">
        <v>821</v>
      </c>
      <c r="D49" s="325">
        <f>an_u_dec_min_bleed* (duration_min_bleed/365)</f>
        <v>5.4136986301369858E-4</v>
      </c>
      <c r="E49" s="308" t="s">
        <v>350</v>
      </c>
      <c r="F49" s="296" t="s">
        <v>350</v>
      </c>
      <c r="G49" s="296" t="s">
        <v>350</v>
      </c>
      <c r="H49" s="296" t="s">
        <v>350</v>
      </c>
      <c r="I49" s="312" t="s">
        <v>720</v>
      </c>
      <c r="J49" s="312" t="s">
        <v>713</v>
      </c>
      <c r="K49" s="322" t="s">
        <v>702</v>
      </c>
    </row>
    <row r="50" spans="1:11" s="86" customFormat="1" ht="15" customHeight="1" x14ac:dyDescent="0.2">
      <c r="A50" s="324" t="s">
        <v>891</v>
      </c>
      <c r="B50" s="86" t="s">
        <v>712</v>
      </c>
      <c r="C50" s="101" t="s">
        <v>821</v>
      </c>
      <c r="D50" s="320">
        <f>an_u_dec_maj_bleed * (duration_maj_bleed/365)</f>
        <v>4.7244931506849313E-3</v>
      </c>
      <c r="E50" s="308" t="s">
        <v>350</v>
      </c>
      <c r="F50" s="296" t="s">
        <v>350</v>
      </c>
      <c r="G50" s="296" t="s">
        <v>350</v>
      </c>
      <c r="H50" s="296" t="s">
        <v>350</v>
      </c>
      <c r="I50" s="312" t="s">
        <v>720</v>
      </c>
      <c r="J50" s="312" t="s">
        <v>714</v>
      </c>
      <c r="K50" s="322" t="s">
        <v>1088</v>
      </c>
    </row>
    <row r="51" spans="1:11" s="86" customFormat="1" ht="15" customHeight="1" x14ac:dyDescent="0.2">
      <c r="A51" s="324" t="s">
        <v>992</v>
      </c>
      <c r="B51" s="86" t="s">
        <v>997</v>
      </c>
      <c r="C51" s="101" t="s">
        <v>821</v>
      </c>
      <c r="D51" s="326">
        <f>(u_dec_maj_bleed*prob_maj_bleed_ac)+(u_dec_min_bleed*prob_min_bleed_ac)</f>
        <v>1.3696241095890408E-4</v>
      </c>
      <c r="E51" s="308" t="s">
        <v>350</v>
      </c>
      <c r="F51" s="296" t="s">
        <v>350</v>
      </c>
      <c r="G51" s="296" t="s">
        <v>350</v>
      </c>
      <c r="H51" s="296" t="s">
        <v>350</v>
      </c>
      <c r="I51" s="312" t="s">
        <v>720</v>
      </c>
      <c r="J51" s="312" t="s">
        <v>1083</v>
      </c>
      <c r="K51" s="322" t="s">
        <v>1089</v>
      </c>
    </row>
    <row r="52" spans="1:11" s="86" customFormat="1" ht="15" customHeight="1" x14ac:dyDescent="0.2">
      <c r="A52" s="324" t="s">
        <v>993</v>
      </c>
      <c r="B52" s="86" t="s">
        <v>999</v>
      </c>
      <c r="C52" s="101" t="s">
        <v>821</v>
      </c>
      <c r="D52" s="320">
        <f>(u_dec_maj_bleed*prob_maj_bleed_at)+(u_dec_min_bleed*prob_min_bleed_at)</f>
        <v>1.5224506125100201E-4</v>
      </c>
      <c r="E52" s="308" t="s">
        <v>350</v>
      </c>
      <c r="F52" s="296" t="s">
        <v>350</v>
      </c>
      <c r="G52" s="296" t="s">
        <v>350</v>
      </c>
      <c r="H52" s="296" t="s">
        <v>350</v>
      </c>
      <c r="I52" s="312" t="s">
        <v>720</v>
      </c>
      <c r="J52" s="312" t="s">
        <v>1084</v>
      </c>
      <c r="K52" s="322" t="s">
        <v>1090</v>
      </c>
    </row>
    <row r="53" spans="1:11" s="86" customFormat="1" ht="15" customHeight="1" x14ac:dyDescent="0.2">
      <c r="A53" s="324" t="s">
        <v>994</v>
      </c>
      <c r="B53" s="86" t="s">
        <v>998</v>
      </c>
      <c r="C53" s="101" t="s">
        <v>821</v>
      </c>
      <c r="D53" s="320">
        <f>(u_dec_maj_bleed*prob_maj_bleed_ap)+(u_dec_min_bleed*prob_min_bleed_ap)</f>
        <v>2.1141003966461592E-4</v>
      </c>
      <c r="E53" s="308" t="s">
        <v>350</v>
      </c>
      <c r="F53" s="296" t="s">
        <v>350</v>
      </c>
      <c r="G53" s="296" t="s">
        <v>350</v>
      </c>
      <c r="H53" s="296" t="s">
        <v>350</v>
      </c>
      <c r="I53" s="312" t="s">
        <v>720</v>
      </c>
      <c r="J53" s="312" t="s">
        <v>1085</v>
      </c>
      <c r="K53" s="322" t="s">
        <v>1091</v>
      </c>
    </row>
    <row r="54" spans="1:11" s="86" customFormat="1" ht="15" customHeight="1" x14ac:dyDescent="0.2">
      <c r="A54" s="324" t="s">
        <v>1038</v>
      </c>
      <c r="B54" s="86" t="s">
        <v>997</v>
      </c>
      <c r="C54" s="101" t="s">
        <v>821</v>
      </c>
      <c r="D54" s="320">
        <f>(u_dec_maj_bleed*rate_maj_bleed_ac_nlof)+(u_dec_min_bleed*rate_min_bleed_ac_nlof)</f>
        <v>1.3696241095890408E-4</v>
      </c>
      <c r="E54" s="308" t="s">
        <v>350</v>
      </c>
      <c r="F54" s="296"/>
      <c r="G54" s="296"/>
      <c r="H54" s="296"/>
      <c r="I54" s="312" t="s">
        <v>720</v>
      </c>
      <c r="J54" s="312" t="s">
        <v>1086</v>
      </c>
      <c r="K54" s="322" t="s">
        <v>1092</v>
      </c>
    </row>
    <row r="55" spans="1:11" ht="8.25" customHeight="1" x14ac:dyDescent="0.2">
      <c r="A55" s="138"/>
      <c r="I55" s="3"/>
    </row>
    <row r="56" spans="1:11" s="86" customFormat="1" x14ac:dyDescent="0.2">
      <c r="A56" s="302" t="s">
        <v>892</v>
      </c>
      <c r="B56" s="302" t="s">
        <v>482</v>
      </c>
      <c r="C56" s="101" t="s">
        <v>822</v>
      </c>
      <c r="D56" s="101">
        <v>2</v>
      </c>
      <c r="E56" s="315">
        <v>371619</v>
      </c>
      <c r="F56" s="308">
        <v>5.1020408163264782E-3</v>
      </c>
      <c r="G56" s="296">
        <v>1.99</v>
      </c>
      <c r="H56" s="296">
        <v>2.0099999999999998</v>
      </c>
      <c r="I56" s="312" t="s">
        <v>592</v>
      </c>
      <c r="J56" s="101" t="s">
        <v>489</v>
      </c>
      <c r="K56" s="318" t="s">
        <v>705</v>
      </c>
    </row>
    <row r="57" spans="1:11" s="86" customFormat="1" x14ac:dyDescent="0.2">
      <c r="A57" s="302" t="s">
        <v>893</v>
      </c>
      <c r="B57" s="302" t="s">
        <v>483</v>
      </c>
      <c r="C57" s="101" t="s">
        <v>822</v>
      </c>
      <c r="D57" s="101">
        <v>4.5</v>
      </c>
      <c r="E57" s="315">
        <v>15833</v>
      </c>
      <c r="F57" s="308">
        <v>3.5714285714285858E-2</v>
      </c>
      <c r="G57" s="296">
        <v>4.43</v>
      </c>
      <c r="H57" s="296">
        <v>4.57</v>
      </c>
      <c r="I57" s="312" t="s">
        <v>592</v>
      </c>
      <c r="J57" s="101" t="s">
        <v>489</v>
      </c>
      <c r="K57" s="318" t="s">
        <v>705</v>
      </c>
    </row>
    <row r="58" spans="1:11" s="86" customFormat="1" x14ac:dyDescent="0.2">
      <c r="A58" s="302" t="s">
        <v>894</v>
      </c>
      <c r="B58" s="302" t="s">
        <v>484</v>
      </c>
      <c r="C58" s="101" t="s">
        <v>822</v>
      </c>
      <c r="D58" s="101">
        <v>3</v>
      </c>
      <c r="E58" s="315">
        <v>15833</v>
      </c>
      <c r="F58" s="308">
        <v>2.5510204081632563E-2</v>
      </c>
      <c r="G58" s="296">
        <v>2.95</v>
      </c>
      <c r="H58" s="296">
        <v>3.05</v>
      </c>
      <c r="I58" s="312" t="s">
        <v>592</v>
      </c>
      <c r="J58" s="101" t="s">
        <v>489</v>
      </c>
      <c r="K58" s="318" t="s">
        <v>706</v>
      </c>
    </row>
    <row r="59" spans="1:11" s="86" customFormat="1" ht="16" x14ac:dyDescent="0.2">
      <c r="A59" s="302" t="s">
        <v>812</v>
      </c>
      <c r="B59" s="302" t="s">
        <v>812</v>
      </c>
      <c r="C59" s="101" t="s">
        <v>822</v>
      </c>
      <c r="D59" s="101">
        <f>smr_stk</f>
        <v>4.7300000000000004</v>
      </c>
      <c r="E59" s="315">
        <v>8324</v>
      </c>
      <c r="F59" s="308">
        <v>0.20663265306122461</v>
      </c>
      <c r="G59" s="296">
        <v>4.34</v>
      </c>
      <c r="H59" s="296">
        <v>5.15</v>
      </c>
      <c r="I59" s="312" t="s">
        <v>592</v>
      </c>
      <c r="J59" s="101" t="s">
        <v>490</v>
      </c>
      <c r="K59" s="322" t="s">
        <v>707</v>
      </c>
    </row>
    <row r="60" spans="1:11" s="86" customFormat="1" ht="16" x14ac:dyDescent="0.2">
      <c r="A60" s="302" t="s">
        <v>895</v>
      </c>
      <c r="B60" s="302" t="s">
        <v>486</v>
      </c>
      <c r="C60" s="101" t="s">
        <v>822</v>
      </c>
      <c r="D60" s="101">
        <f>smr_post_stk</f>
        <v>2.3199999999999998</v>
      </c>
      <c r="E60" s="315">
        <v>8324</v>
      </c>
      <c r="F60" s="308">
        <v>8.1632653061224567E-2</v>
      </c>
      <c r="G60" s="296">
        <v>2.17</v>
      </c>
      <c r="H60" s="296">
        <v>2.4900000000000002</v>
      </c>
      <c r="I60" s="312" t="s">
        <v>592</v>
      </c>
      <c r="J60" s="101" t="s">
        <v>490</v>
      </c>
      <c r="K60" s="322" t="s">
        <v>707</v>
      </c>
    </row>
    <row r="61" spans="1:11" ht="6" customHeight="1" x14ac:dyDescent="0.2">
      <c r="B61" s="104"/>
      <c r="D61" s="3"/>
      <c r="E61" s="167"/>
    </row>
    <row r="62" spans="1:11" s="86" customFormat="1" x14ac:dyDescent="0.2">
      <c r="A62" s="327" t="s">
        <v>927</v>
      </c>
      <c r="B62" s="302" t="s">
        <v>659</v>
      </c>
      <c r="C62" s="101" t="s">
        <v>823</v>
      </c>
      <c r="D62" s="328">
        <v>125</v>
      </c>
      <c r="E62" s="304" t="s">
        <v>350</v>
      </c>
      <c r="F62" s="302"/>
      <c r="G62" s="302"/>
      <c r="H62" s="302"/>
      <c r="I62" s="302" t="s">
        <v>949</v>
      </c>
      <c r="J62" s="101" t="s">
        <v>660</v>
      </c>
      <c r="K62" s="302"/>
    </row>
    <row r="63" spans="1:11" ht="7.5" customHeight="1" x14ac:dyDescent="0.2">
      <c r="A63" s="267"/>
      <c r="B63" s="104"/>
      <c r="D63" s="228"/>
      <c r="E63" s="167"/>
      <c r="F63" s="104"/>
      <c r="G63" s="104"/>
      <c r="H63" s="104"/>
    </row>
    <row r="64" spans="1:11" s="86" customFormat="1" x14ac:dyDescent="0.2">
      <c r="A64" s="329" t="s">
        <v>928</v>
      </c>
      <c r="B64" s="302" t="s">
        <v>857</v>
      </c>
      <c r="C64" s="101" t="s">
        <v>860</v>
      </c>
      <c r="D64" s="330">
        <v>365</v>
      </c>
      <c r="E64" s="304" t="s">
        <v>350</v>
      </c>
      <c r="F64" s="302" t="s">
        <v>350</v>
      </c>
      <c r="G64" s="302" t="s">
        <v>350</v>
      </c>
      <c r="H64" s="302" t="s">
        <v>350</v>
      </c>
      <c r="I64" s="302" t="s">
        <v>670</v>
      </c>
      <c r="J64" s="101" t="s">
        <v>1087</v>
      </c>
      <c r="K64" s="309" t="s">
        <v>716</v>
      </c>
    </row>
    <row r="65" spans="1:11" s="86" customFormat="1" x14ac:dyDescent="0.2">
      <c r="A65" s="329" t="s">
        <v>929</v>
      </c>
      <c r="B65" s="302" t="s">
        <v>858</v>
      </c>
      <c r="C65" s="101" t="s">
        <v>860</v>
      </c>
      <c r="D65" s="330">
        <v>360</v>
      </c>
      <c r="E65" s="304" t="s">
        <v>350</v>
      </c>
      <c r="F65" s="302" t="s">
        <v>350</v>
      </c>
      <c r="G65" s="302" t="s">
        <v>350</v>
      </c>
      <c r="H65" s="302" t="s">
        <v>350</v>
      </c>
      <c r="I65" s="302" t="s">
        <v>670</v>
      </c>
      <c r="J65" s="101" t="s">
        <v>1087</v>
      </c>
      <c r="K65" s="309" t="s">
        <v>716</v>
      </c>
    </row>
    <row r="66" spans="1:11" s="86" customFormat="1" x14ac:dyDescent="0.2">
      <c r="A66" s="329" t="s">
        <v>930</v>
      </c>
      <c r="B66" s="302" t="s">
        <v>859</v>
      </c>
      <c r="C66" s="101" t="s">
        <v>860</v>
      </c>
      <c r="D66" s="330">
        <v>328</v>
      </c>
      <c r="E66" s="304" t="s">
        <v>350</v>
      </c>
      <c r="F66" s="302" t="s">
        <v>350</v>
      </c>
      <c r="G66" s="302" t="s">
        <v>350</v>
      </c>
      <c r="H66" s="302" t="s">
        <v>350</v>
      </c>
      <c r="I66" s="302" t="s">
        <v>670</v>
      </c>
      <c r="J66" s="101" t="s">
        <v>1087</v>
      </c>
      <c r="K66" s="309" t="s">
        <v>716</v>
      </c>
    </row>
    <row r="67" spans="1:11" s="86" customFormat="1" x14ac:dyDescent="0.2">
      <c r="A67" s="329" t="s">
        <v>931</v>
      </c>
      <c r="B67" s="302" t="s">
        <v>861</v>
      </c>
      <c r="C67" s="101" t="s">
        <v>860</v>
      </c>
      <c r="D67" s="330">
        <f>365/2</f>
        <v>182.5</v>
      </c>
      <c r="E67" s="304" t="s">
        <v>350</v>
      </c>
      <c r="F67" s="302" t="s">
        <v>350</v>
      </c>
      <c r="G67" s="302" t="s">
        <v>350</v>
      </c>
      <c r="H67" s="302" t="s">
        <v>350</v>
      </c>
      <c r="I67" s="302" t="s">
        <v>670</v>
      </c>
      <c r="J67" s="101" t="s">
        <v>1087</v>
      </c>
      <c r="K67" s="309" t="s">
        <v>716</v>
      </c>
    </row>
    <row r="68" spans="1:11" s="86" customFormat="1" x14ac:dyDescent="0.2">
      <c r="A68" s="329" t="s">
        <v>978</v>
      </c>
      <c r="B68" s="302" t="s">
        <v>959</v>
      </c>
      <c r="C68" s="101" t="s">
        <v>860</v>
      </c>
      <c r="D68" s="330">
        <v>5</v>
      </c>
      <c r="E68" s="304" t="s">
        <v>350</v>
      </c>
      <c r="F68" s="302"/>
      <c r="G68" s="302"/>
      <c r="H68" s="302"/>
      <c r="I68" s="302" t="s">
        <v>670</v>
      </c>
      <c r="J68" s="101" t="s">
        <v>1087</v>
      </c>
      <c r="K68" s="309" t="s">
        <v>716</v>
      </c>
    </row>
    <row r="69" spans="1:11" s="86" customFormat="1" x14ac:dyDescent="0.2">
      <c r="A69" s="331" t="s">
        <v>932</v>
      </c>
      <c r="B69" s="86" t="s">
        <v>938</v>
      </c>
      <c r="C69" s="101" t="s">
        <v>823</v>
      </c>
      <c r="D69" s="304">
        <f>ld_clop_300</f>
        <v>0.15857142857142859</v>
      </c>
      <c r="E69" s="304" t="s">
        <v>350</v>
      </c>
      <c r="F69" s="302" t="s">
        <v>350</v>
      </c>
      <c r="G69" s="302" t="s">
        <v>350</v>
      </c>
      <c r="H69" s="302" t="s">
        <v>350</v>
      </c>
      <c r="I69" s="302" t="s">
        <v>670</v>
      </c>
      <c r="J69" s="101" t="s">
        <v>708</v>
      </c>
      <c r="K69" s="101" t="s">
        <v>672</v>
      </c>
    </row>
    <row r="70" spans="1:11" s="86" customFormat="1" x14ac:dyDescent="0.2">
      <c r="A70" s="331" t="s">
        <v>933</v>
      </c>
      <c r="B70" s="86" t="s">
        <v>939</v>
      </c>
      <c r="C70" s="101" t="s">
        <v>823</v>
      </c>
      <c r="D70" s="304">
        <f>ld_clop_600</f>
        <v>0.31714285714285717</v>
      </c>
      <c r="E70" s="304" t="s">
        <v>350</v>
      </c>
      <c r="F70" s="302" t="s">
        <v>350</v>
      </c>
      <c r="G70" s="302" t="s">
        <v>350</v>
      </c>
      <c r="H70" s="302" t="s">
        <v>350</v>
      </c>
      <c r="I70" s="302" t="s">
        <v>670</v>
      </c>
      <c r="J70" s="101" t="s">
        <v>708</v>
      </c>
      <c r="K70" s="101" t="s">
        <v>672</v>
      </c>
    </row>
    <row r="71" spans="1:11" s="86" customFormat="1" x14ac:dyDescent="0.2">
      <c r="A71" s="331" t="s">
        <v>934</v>
      </c>
      <c r="B71" s="86" t="s">
        <v>936</v>
      </c>
      <c r="C71" s="101" t="s">
        <v>823</v>
      </c>
      <c r="D71" s="304">
        <f>ld_pras_60</f>
        <v>1.4607142857142859</v>
      </c>
      <c r="E71" s="304" t="s">
        <v>350</v>
      </c>
      <c r="F71" s="302" t="s">
        <v>350</v>
      </c>
      <c r="G71" s="302" t="s">
        <v>350</v>
      </c>
      <c r="H71" s="302" t="s">
        <v>350</v>
      </c>
      <c r="I71" s="302" t="s">
        <v>670</v>
      </c>
      <c r="J71" s="101" t="s">
        <v>708</v>
      </c>
      <c r="K71" s="101" t="s">
        <v>672</v>
      </c>
    </row>
    <row r="72" spans="1:11" s="86" customFormat="1" x14ac:dyDescent="0.2">
      <c r="A72" s="331" t="s">
        <v>935</v>
      </c>
      <c r="B72" s="86" t="s">
        <v>937</v>
      </c>
      <c r="C72" s="101" t="s">
        <v>823</v>
      </c>
      <c r="D72" s="304">
        <f>ld_tica_180</f>
        <v>1.96</v>
      </c>
      <c r="E72" s="304" t="s">
        <v>350</v>
      </c>
      <c r="F72" s="302" t="s">
        <v>350</v>
      </c>
      <c r="G72" s="302" t="s">
        <v>350</v>
      </c>
      <c r="H72" s="302" t="s">
        <v>350</v>
      </c>
      <c r="I72" s="302" t="s">
        <v>670</v>
      </c>
      <c r="J72" s="101" t="s">
        <v>708</v>
      </c>
      <c r="K72" s="101" t="s">
        <v>672</v>
      </c>
    </row>
    <row r="73" spans="1:11" s="86" customFormat="1" x14ac:dyDescent="0.2">
      <c r="A73" s="331" t="s">
        <v>896</v>
      </c>
      <c r="B73" s="302" t="s">
        <v>940</v>
      </c>
      <c r="C73" s="101" t="s">
        <v>823</v>
      </c>
      <c r="D73" s="332">
        <f>day_cost_asa</f>
        <v>2.5714285714285714E-2</v>
      </c>
      <c r="E73" s="304" t="s">
        <v>350</v>
      </c>
      <c r="F73" s="302" t="s">
        <v>350</v>
      </c>
      <c r="G73" s="302" t="s">
        <v>350</v>
      </c>
      <c r="H73" s="302" t="s">
        <v>350</v>
      </c>
      <c r="I73" s="302" t="s">
        <v>670</v>
      </c>
      <c r="J73" s="101" t="s">
        <v>708</v>
      </c>
      <c r="K73" s="101" t="s">
        <v>672</v>
      </c>
    </row>
    <row r="74" spans="1:11" s="86" customFormat="1" x14ac:dyDescent="0.2">
      <c r="A74" s="331" t="s">
        <v>942</v>
      </c>
      <c r="B74" s="86" t="s">
        <v>941</v>
      </c>
      <c r="C74" s="101" t="s">
        <v>823</v>
      </c>
      <c r="D74" s="304">
        <f>day_cost_clop</f>
        <v>3.9642857142857146E-2</v>
      </c>
      <c r="E74" s="304" t="s">
        <v>350</v>
      </c>
      <c r="F74" s="302" t="s">
        <v>350</v>
      </c>
      <c r="G74" s="302" t="s">
        <v>350</v>
      </c>
      <c r="H74" s="302" t="s">
        <v>350</v>
      </c>
      <c r="I74" s="302" t="s">
        <v>670</v>
      </c>
      <c r="J74" s="101" t="s">
        <v>708</v>
      </c>
      <c r="K74" s="101" t="s">
        <v>672</v>
      </c>
    </row>
    <row r="75" spans="1:11" s="86" customFormat="1" x14ac:dyDescent="0.2">
      <c r="A75" s="333" t="s">
        <v>944</v>
      </c>
      <c r="B75" s="86" t="s">
        <v>863</v>
      </c>
      <c r="C75" s="101" t="s">
        <v>823</v>
      </c>
      <c r="D75" s="334">
        <v>0.15</v>
      </c>
      <c r="E75" s="304"/>
      <c r="F75" s="302" t="s">
        <v>350</v>
      </c>
      <c r="G75" s="302" t="s">
        <v>350</v>
      </c>
      <c r="H75" s="302" t="s">
        <v>350</v>
      </c>
      <c r="I75" s="302" t="s">
        <v>671</v>
      </c>
      <c r="J75" s="101" t="s">
        <v>708</v>
      </c>
      <c r="K75" s="101" t="s">
        <v>672</v>
      </c>
    </row>
    <row r="76" spans="1:11" s="86" customFormat="1" x14ac:dyDescent="0.2">
      <c r="A76" s="333" t="s">
        <v>946</v>
      </c>
      <c r="B76" s="86" t="s">
        <v>947</v>
      </c>
      <c r="C76" s="101" t="s">
        <v>823</v>
      </c>
      <c r="D76" s="312">
        <f>(day_cost_pras_5mg*prop_pras_5mg)+(day_cost_pras_10mg*(1-prop_pras_5mg))</f>
        <v>0.29330357142857144</v>
      </c>
      <c r="E76" s="304"/>
      <c r="F76" s="302" t="s">
        <v>350</v>
      </c>
      <c r="G76" s="302" t="s">
        <v>350</v>
      </c>
      <c r="H76" s="302" t="s">
        <v>350</v>
      </c>
      <c r="I76" s="302" t="s">
        <v>671</v>
      </c>
      <c r="J76" s="101" t="s">
        <v>708</v>
      </c>
      <c r="K76" s="101" t="s">
        <v>672</v>
      </c>
    </row>
    <row r="77" spans="1:11" s="86" customFormat="1" x14ac:dyDescent="0.2">
      <c r="A77" s="333" t="s">
        <v>945</v>
      </c>
      <c r="B77" s="86" t="s">
        <v>948</v>
      </c>
      <c r="C77" s="101" t="s">
        <v>823</v>
      </c>
      <c r="D77" s="304">
        <f>day_cost_tica</f>
        <v>1.95</v>
      </c>
      <c r="E77" s="304"/>
      <c r="F77" s="302" t="s">
        <v>350</v>
      </c>
      <c r="G77" s="302" t="s">
        <v>350</v>
      </c>
      <c r="H77" s="302" t="s">
        <v>350</v>
      </c>
      <c r="I77" s="302" t="s">
        <v>671</v>
      </c>
      <c r="J77" s="101" t="s">
        <v>708</v>
      </c>
      <c r="K77" s="101" t="s">
        <v>672</v>
      </c>
    </row>
    <row r="78" spans="1:11" ht="10" customHeight="1" x14ac:dyDescent="0.2">
      <c r="A78" s="138"/>
    </row>
    <row r="79" spans="1:11" s="86" customFormat="1" x14ac:dyDescent="0.2">
      <c r="A79" s="327" t="s">
        <v>567</v>
      </c>
      <c r="B79" s="302" t="s">
        <v>567</v>
      </c>
      <c r="C79" s="101" t="s">
        <v>823</v>
      </c>
      <c r="D79" s="328">
        <v>3125</v>
      </c>
      <c r="E79" s="304" t="s">
        <v>350</v>
      </c>
      <c r="F79" s="302" t="s">
        <v>350</v>
      </c>
      <c r="G79" s="302" t="s">
        <v>350</v>
      </c>
      <c r="H79" s="302" t="s">
        <v>350</v>
      </c>
      <c r="I79" s="302" t="s">
        <v>671</v>
      </c>
      <c r="J79" s="101" t="s">
        <v>658</v>
      </c>
      <c r="K79" s="298" t="s">
        <v>696</v>
      </c>
    </row>
    <row r="80" spans="1:11" s="86" customFormat="1" x14ac:dyDescent="0.2">
      <c r="A80" s="327" t="s">
        <v>897</v>
      </c>
      <c r="B80" s="302" t="s">
        <v>693</v>
      </c>
      <c r="C80" s="101" t="s">
        <v>823</v>
      </c>
      <c r="D80" s="328">
        <f>c_noevent_tree</f>
        <v>2003.9049186967752</v>
      </c>
      <c r="E80" s="304" t="s">
        <v>350</v>
      </c>
      <c r="F80" s="302" t="s">
        <v>350</v>
      </c>
      <c r="G80" s="302" t="s">
        <v>350</v>
      </c>
      <c r="H80" s="302" t="s">
        <v>350</v>
      </c>
      <c r="I80" s="302" t="s">
        <v>671</v>
      </c>
      <c r="J80" s="101" t="s">
        <v>802</v>
      </c>
      <c r="K80" s="298" t="s">
        <v>696</v>
      </c>
    </row>
    <row r="81" spans="1:11" s="86" customFormat="1" x14ac:dyDescent="0.2">
      <c r="A81" s="327" t="s">
        <v>690</v>
      </c>
      <c r="B81" s="302" t="s">
        <v>690</v>
      </c>
      <c r="C81" s="101" t="s">
        <v>823</v>
      </c>
      <c r="D81" s="328">
        <f>c_mi_tree</f>
        <v>6798.6140046517412</v>
      </c>
      <c r="E81" s="304" t="s">
        <v>350</v>
      </c>
      <c r="F81" s="302" t="s">
        <v>350</v>
      </c>
      <c r="G81" s="302" t="s">
        <v>350</v>
      </c>
      <c r="H81" s="302" t="s">
        <v>350</v>
      </c>
      <c r="I81" s="302" t="s">
        <v>671</v>
      </c>
      <c r="J81" s="101" t="s">
        <v>802</v>
      </c>
      <c r="K81" s="298" t="s">
        <v>696</v>
      </c>
    </row>
    <row r="82" spans="1:11" s="86" customFormat="1" x14ac:dyDescent="0.2">
      <c r="A82" s="327" t="s">
        <v>691</v>
      </c>
      <c r="B82" s="302" t="s">
        <v>691</v>
      </c>
      <c r="C82" s="101" t="s">
        <v>823</v>
      </c>
      <c r="D82" s="328">
        <f>c_stk_tree</f>
        <v>18576.442974967726</v>
      </c>
      <c r="E82" s="304" t="s">
        <v>350</v>
      </c>
      <c r="F82" s="302" t="s">
        <v>350</v>
      </c>
      <c r="G82" s="302" t="s">
        <v>350</v>
      </c>
      <c r="H82" s="302" t="s">
        <v>350</v>
      </c>
      <c r="I82" s="302" t="s">
        <v>671</v>
      </c>
      <c r="J82" s="101" t="s">
        <v>802</v>
      </c>
      <c r="K82" s="298" t="s">
        <v>696</v>
      </c>
    </row>
    <row r="83" spans="1:11" s="86" customFormat="1" x14ac:dyDescent="0.2">
      <c r="A83" s="327" t="s">
        <v>692</v>
      </c>
      <c r="B83" s="302" t="s">
        <v>692</v>
      </c>
      <c r="C83" s="101" t="s">
        <v>823</v>
      </c>
      <c r="D83" s="328">
        <f>c_dead_tree</f>
        <v>1427.1713079498984</v>
      </c>
      <c r="E83" s="304" t="s">
        <v>350</v>
      </c>
      <c r="F83" s="302" t="s">
        <v>350</v>
      </c>
      <c r="G83" s="302" t="s">
        <v>350</v>
      </c>
      <c r="H83" s="302" t="s">
        <v>350</v>
      </c>
      <c r="I83" s="302" t="s">
        <v>671</v>
      </c>
      <c r="J83" s="101" t="s">
        <v>802</v>
      </c>
      <c r="K83" s="298" t="s">
        <v>696</v>
      </c>
    </row>
    <row r="84" spans="1:11" s="86" customFormat="1" x14ac:dyDescent="0.2">
      <c r="A84" s="327" t="s">
        <v>898</v>
      </c>
      <c r="B84" s="302" t="s">
        <v>1101</v>
      </c>
      <c r="C84" s="101" t="s">
        <v>823</v>
      </c>
      <c r="D84" s="328">
        <f>c_min_bleed</f>
        <v>215</v>
      </c>
      <c r="E84" s="304" t="s">
        <v>350</v>
      </c>
      <c r="F84" s="302" t="s">
        <v>350</v>
      </c>
      <c r="G84" s="302" t="s">
        <v>350</v>
      </c>
      <c r="H84" s="302" t="s">
        <v>350</v>
      </c>
      <c r="I84" s="302" t="s">
        <v>671</v>
      </c>
      <c r="J84" s="101" t="s">
        <v>802</v>
      </c>
      <c r="K84" s="298" t="s">
        <v>696</v>
      </c>
    </row>
    <row r="85" spans="1:11" s="86" customFormat="1" x14ac:dyDescent="0.2">
      <c r="A85" s="327" t="s">
        <v>899</v>
      </c>
      <c r="B85" s="302" t="s">
        <v>1102</v>
      </c>
      <c r="C85" s="101" t="s">
        <v>823</v>
      </c>
      <c r="D85" s="328">
        <f>c_maj_bleed</f>
        <v>2388.8012902757291</v>
      </c>
      <c r="E85" s="304" t="s">
        <v>350</v>
      </c>
      <c r="F85" s="302" t="s">
        <v>350</v>
      </c>
      <c r="G85" s="302" t="s">
        <v>350</v>
      </c>
      <c r="H85" s="302" t="s">
        <v>350</v>
      </c>
      <c r="I85" s="302" t="s">
        <v>671</v>
      </c>
      <c r="J85" s="101" t="s">
        <v>802</v>
      </c>
      <c r="K85" s="298" t="s">
        <v>696</v>
      </c>
    </row>
    <row r="86" spans="1:11" s="86" customFormat="1" x14ac:dyDescent="0.2">
      <c r="A86" s="327" t="s">
        <v>950</v>
      </c>
      <c r="B86" s="302" t="s">
        <v>951</v>
      </c>
      <c r="C86" s="101" t="s">
        <v>823</v>
      </c>
      <c r="D86" s="328">
        <f>(prob_maj_bleed_ac*c_maj_bleed)+(prob_min_bleed_ac*c_min_bleed)</f>
        <v>65.668628386066032</v>
      </c>
      <c r="E86" s="304" t="s">
        <v>350</v>
      </c>
      <c r="F86" s="302"/>
      <c r="G86" s="302"/>
      <c r="H86" s="302"/>
      <c r="I86" s="302" t="s">
        <v>671</v>
      </c>
      <c r="J86" s="101" t="s">
        <v>802</v>
      </c>
      <c r="K86" s="298" t="s">
        <v>696</v>
      </c>
    </row>
    <row r="87" spans="1:11" s="86" customFormat="1" x14ac:dyDescent="0.2">
      <c r="A87" s="327" t="s">
        <v>954</v>
      </c>
      <c r="B87" s="302" t="s">
        <v>952</v>
      </c>
      <c r="C87" s="101" t="s">
        <v>823</v>
      </c>
      <c r="D87" s="328">
        <f>(prob_maj_bleed_at*c_maj_bleed)+(prob_min_bleed_at*c_min_bleed)</f>
        <v>72.178691865340539</v>
      </c>
      <c r="E87" s="304" t="s">
        <v>350</v>
      </c>
      <c r="F87" s="302"/>
      <c r="G87" s="302"/>
      <c r="H87" s="302"/>
      <c r="I87" s="302" t="s">
        <v>671</v>
      </c>
      <c r="J87" s="101" t="s">
        <v>802</v>
      </c>
      <c r="K87" s="298" t="s">
        <v>696</v>
      </c>
    </row>
    <row r="88" spans="1:11" s="86" customFormat="1" x14ac:dyDescent="0.2">
      <c r="A88" s="327" t="s">
        <v>955</v>
      </c>
      <c r="B88" s="302" t="s">
        <v>953</v>
      </c>
      <c r="C88" s="101" t="s">
        <v>823</v>
      </c>
      <c r="D88" s="328">
        <f>(prob_maj_bleed_ap*c_maj_bleed)+(prob_min_bleed_ap*c_min_bleed)</f>
        <v>99.932081895729993</v>
      </c>
      <c r="E88" s="304" t="s">
        <v>350</v>
      </c>
      <c r="F88" s="302"/>
      <c r="G88" s="302"/>
      <c r="H88" s="302"/>
      <c r="I88" s="302" t="s">
        <v>671</v>
      </c>
      <c r="J88" s="101" t="s">
        <v>802</v>
      </c>
      <c r="K88" s="298" t="s">
        <v>696</v>
      </c>
    </row>
    <row r="89" spans="1:11" ht="8.5" customHeight="1" x14ac:dyDescent="0.2">
      <c r="A89" s="268"/>
      <c r="D89" s="144"/>
      <c r="E89" s="167"/>
    </row>
    <row r="90" spans="1:11" s="86" customFormat="1" x14ac:dyDescent="0.2">
      <c r="A90" s="327" t="s">
        <v>900</v>
      </c>
      <c r="B90" s="302" t="s">
        <v>685</v>
      </c>
      <c r="C90" s="101" t="s">
        <v>823</v>
      </c>
      <c r="D90" s="328">
        <f>c_noevent_mkv</f>
        <v>1152.2453282506456</v>
      </c>
      <c r="E90" s="304" t="s">
        <v>350</v>
      </c>
      <c r="F90" s="302" t="s">
        <v>350</v>
      </c>
      <c r="G90" s="302" t="s">
        <v>350</v>
      </c>
      <c r="H90" s="302" t="s">
        <v>350</v>
      </c>
      <c r="I90" s="302" t="s">
        <v>671</v>
      </c>
      <c r="J90" s="101" t="s">
        <v>802</v>
      </c>
      <c r="K90" s="298" t="s">
        <v>696</v>
      </c>
    </row>
    <row r="91" spans="1:11" s="86" customFormat="1" x14ac:dyDescent="0.2">
      <c r="A91" s="327" t="s">
        <v>686</v>
      </c>
      <c r="B91" s="302" t="s">
        <v>686</v>
      </c>
      <c r="C91" s="101" t="s">
        <v>823</v>
      </c>
      <c r="D91" s="328">
        <f>c_stk_mkv</f>
        <v>22631.90664884248</v>
      </c>
      <c r="E91" s="304" t="s">
        <v>350</v>
      </c>
      <c r="F91" s="302" t="s">
        <v>350</v>
      </c>
      <c r="G91" s="302" t="s">
        <v>350</v>
      </c>
      <c r="H91" s="302" t="s">
        <v>350</v>
      </c>
      <c r="I91" s="302" t="s">
        <v>671</v>
      </c>
      <c r="J91" s="101" t="s">
        <v>802</v>
      </c>
      <c r="K91" s="298" t="s">
        <v>696</v>
      </c>
    </row>
    <row r="92" spans="1:11" s="86" customFormat="1" x14ac:dyDescent="0.2">
      <c r="A92" s="327" t="s">
        <v>901</v>
      </c>
      <c r="B92" s="302" t="s">
        <v>687</v>
      </c>
      <c r="C92" s="101" t="s">
        <v>823</v>
      </c>
      <c r="D92" s="328">
        <f>c_post_stk_mkv</f>
        <v>8035.1699666768254</v>
      </c>
      <c r="E92" s="304" t="s">
        <v>350</v>
      </c>
      <c r="F92" s="302" t="s">
        <v>350</v>
      </c>
      <c r="G92" s="302" t="s">
        <v>350</v>
      </c>
      <c r="H92" s="302" t="s">
        <v>350</v>
      </c>
      <c r="I92" s="302" t="s">
        <v>671</v>
      </c>
      <c r="J92" s="101" t="s">
        <v>802</v>
      </c>
      <c r="K92" s="298" t="s">
        <v>696</v>
      </c>
    </row>
    <row r="93" spans="1:11" s="86" customFormat="1" x14ac:dyDescent="0.2">
      <c r="A93" s="327" t="s">
        <v>688</v>
      </c>
      <c r="B93" s="302" t="s">
        <v>688</v>
      </c>
      <c r="C93" s="101" t="s">
        <v>823</v>
      </c>
      <c r="D93" s="328">
        <f>c_rinfar_mkv</f>
        <v>6236.5431128221589</v>
      </c>
      <c r="E93" s="304" t="s">
        <v>350</v>
      </c>
      <c r="F93" s="302" t="s">
        <v>350</v>
      </c>
      <c r="G93" s="302" t="s">
        <v>350</v>
      </c>
      <c r="H93" s="302" t="s">
        <v>350</v>
      </c>
      <c r="I93" s="302" t="s">
        <v>671</v>
      </c>
      <c r="J93" s="101" t="s">
        <v>802</v>
      </c>
      <c r="K93" s="298" t="s">
        <v>696</v>
      </c>
    </row>
    <row r="94" spans="1:11" s="86" customFormat="1" x14ac:dyDescent="0.2">
      <c r="A94" s="327" t="s">
        <v>902</v>
      </c>
      <c r="B94" s="302" t="s">
        <v>689</v>
      </c>
      <c r="C94" s="101" t="s">
        <v>823</v>
      </c>
      <c r="D94" s="328">
        <f>c_post_rinfar_mkv</f>
        <v>1728.9789389975226</v>
      </c>
      <c r="E94" s="304" t="s">
        <v>350</v>
      </c>
      <c r="F94" s="302" t="s">
        <v>350</v>
      </c>
      <c r="G94" s="302" t="s">
        <v>350</v>
      </c>
      <c r="H94" s="302" t="s">
        <v>350</v>
      </c>
      <c r="I94" s="302" t="s">
        <v>671</v>
      </c>
      <c r="J94" s="101" t="s">
        <v>802</v>
      </c>
      <c r="K94" s="298" t="s">
        <v>696</v>
      </c>
    </row>
    <row r="95" spans="1:11" ht="9" customHeight="1" x14ac:dyDescent="0.2">
      <c r="B95" s="104"/>
      <c r="D95" s="3"/>
      <c r="E95" s="167"/>
      <c r="F95" s="104"/>
      <c r="G95" s="104"/>
      <c r="H95" s="104"/>
    </row>
    <row r="96" spans="1:11" s="86" customFormat="1" x14ac:dyDescent="0.2">
      <c r="A96" s="335" t="s">
        <v>1136</v>
      </c>
      <c r="B96" s="302" t="s">
        <v>1138</v>
      </c>
      <c r="C96" s="101" t="s">
        <v>350</v>
      </c>
      <c r="D96" s="336">
        <v>3.5000000000000003E-2</v>
      </c>
      <c r="E96" s="304" t="s">
        <v>350</v>
      </c>
      <c r="F96" s="302" t="s">
        <v>350</v>
      </c>
      <c r="G96" s="302" t="s">
        <v>350</v>
      </c>
      <c r="H96" s="302" t="s">
        <v>350</v>
      </c>
      <c r="I96" s="302"/>
      <c r="J96" s="101" t="s">
        <v>715</v>
      </c>
      <c r="K96" s="309" t="s">
        <v>716</v>
      </c>
    </row>
    <row r="97" spans="1:11" s="86" customFormat="1" x14ac:dyDescent="0.2">
      <c r="A97" s="335" t="s">
        <v>1137</v>
      </c>
      <c r="B97" s="302" t="s">
        <v>1139</v>
      </c>
      <c r="C97" s="101" t="s">
        <v>350</v>
      </c>
      <c r="D97" s="336">
        <v>3.5000000000000003E-2</v>
      </c>
      <c r="E97" s="304" t="s">
        <v>350</v>
      </c>
      <c r="F97" s="302" t="s">
        <v>350</v>
      </c>
      <c r="G97" s="302" t="s">
        <v>350</v>
      </c>
      <c r="H97" s="302" t="s">
        <v>350</v>
      </c>
      <c r="I97" s="302"/>
      <c r="J97" s="101" t="s">
        <v>717</v>
      </c>
      <c r="K97" s="309" t="s">
        <v>716</v>
      </c>
    </row>
    <row r="98" spans="1:11" s="86" customFormat="1" x14ac:dyDescent="0.2">
      <c r="A98" s="327" t="s">
        <v>1140</v>
      </c>
      <c r="B98" s="86" t="s">
        <v>721</v>
      </c>
      <c r="C98" s="101"/>
      <c r="D98" s="328">
        <v>20000</v>
      </c>
      <c r="E98" s="304" t="s">
        <v>350</v>
      </c>
      <c r="F98" s="302" t="s">
        <v>350</v>
      </c>
      <c r="G98" s="302" t="s">
        <v>350</v>
      </c>
      <c r="H98" s="302" t="s">
        <v>350</v>
      </c>
      <c r="I98" s="302"/>
      <c r="J98" s="101" t="s">
        <v>722</v>
      </c>
      <c r="K98" s="309" t="s">
        <v>716</v>
      </c>
    </row>
    <row r="99" spans="1:11" ht="11.5" customHeight="1" x14ac:dyDescent="0.2">
      <c r="A99" s="138"/>
    </row>
    <row r="100" spans="1:11" s="86" customFormat="1" x14ac:dyDescent="0.2">
      <c r="A100" s="337" t="s">
        <v>903</v>
      </c>
      <c r="B100" s="86" t="s">
        <v>797</v>
      </c>
      <c r="C100" s="101" t="s">
        <v>822</v>
      </c>
      <c r="D100" s="338">
        <f>or_dead_tica_clop</f>
        <v>0.77</v>
      </c>
      <c r="E100" s="315">
        <v>4012</v>
      </c>
      <c r="F100" s="312">
        <v>6.5772731964821363E-2</v>
      </c>
      <c r="G100" s="338">
        <v>0.68</v>
      </c>
      <c r="H100" s="338">
        <v>0.88</v>
      </c>
      <c r="I100" s="312" t="s">
        <v>592</v>
      </c>
      <c r="J100" s="101" t="s">
        <v>366</v>
      </c>
      <c r="K100" s="298" t="s">
        <v>696</v>
      </c>
    </row>
    <row r="101" spans="1:11" s="86" customFormat="1" x14ac:dyDescent="0.2">
      <c r="A101" s="337" t="s">
        <v>904</v>
      </c>
      <c r="B101" s="86" t="s">
        <v>798</v>
      </c>
      <c r="C101" s="101" t="s">
        <v>822</v>
      </c>
      <c r="D101" s="338">
        <f>or_mi_tica_clop</f>
        <v>0.82</v>
      </c>
      <c r="E101" s="315">
        <v>4237</v>
      </c>
      <c r="F101" s="312">
        <v>5.901253466853297E-2</v>
      </c>
      <c r="G101" s="338">
        <v>0.73</v>
      </c>
      <c r="H101" s="338">
        <v>0.92</v>
      </c>
      <c r="I101" s="312" t="s">
        <v>592</v>
      </c>
      <c r="J101" s="101" t="s">
        <v>366</v>
      </c>
      <c r="K101" s="298" t="s">
        <v>696</v>
      </c>
    </row>
    <row r="102" spans="1:11" s="86" customFormat="1" x14ac:dyDescent="0.2">
      <c r="A102" s="337" t="s">
        <v>905</v>
      </c>
      <c r="B102" s="86" t="s">
        <v>799</v>
      </c>
      <c r="C102" s="101" t="s">
        <v>822</v>
      </c>
      <c r="D102" s="338">
        <f>or_stk_tica_clop</f>
        <v>1.1299999999999999</v>
      </c>
      <c r="E102" s="315">
        <v>4387</v>
      </c>
      <c r="F102" s="312">
        <v>0.12274921679690325</v>
      </c>
      <c r="G102" s="338">
        <v>0.89</v>
      </c>
      <c r="H102" s="338">
        <v>1.44</v>
      </c>
      <c r="I102" s="312" t="s">
        <v>592</v>
      </c>
      <c r="J102" s="101" t="s">
        <v>366</v>
      </c>
      <c r="K102" s="298" t="s">
        <v>696</v>
      </c>
    </row>
    <row r="103" spans="1:11" s="86" customFormat="1" x14ac:dyDescent="0.2">
      <c r="A103" s="337" t="s">
        <v>906</v>
      </c>
      <c r="B103" s="86" t="s">
        <v>800</v>
      </c>
      <c r="C103" s="101" t="s">
        <v>822</v>
      </c>
      <c r="D103" s="338">
        <f>or_maj_bleed_tica_clop</f>
        <v>1.04</v>
      </c>
      <c r="E103" s="315">
        <v>4387</v>
      </c>
      <c r="F103" s="312">
        <v>4.6510601222947597E-2</v>
      </c>
      <c r="G103" s="338">
        <v>0.95</v>
      </c>
      <c r="H103" s="338">
        <v>1.1399999999999999</v>
      </c>
      <c r="I103" s="312" t="s">
        <v>592</v>
      </c>
      <c r="J103" s="101" t="s">
        <v>366</v>
      </c>
      <c r="K103" s="298" t="s">
        <v>696</v>
      </c>
    </row>
    <row r="104" spans="1:11" s="86" customFormat="1" x14ac:dyDescent="0.2">
      <c r="A104" s="339" t="s">
        <v>907</v>
      </c>
      <c r="B104" s="86" t="s">
        <v>801</v>
      </c>
      <c r="C104" s="101" t="s">
        <v>822</v>
      </c>
      <c r="D104" s="340">
        <f>or_min_bleed_tica_clop</f>
        <v>1.37</v>
      </c>
      <c r="E104" s="315">
        <v>4387</v>
      </c>
      <c r="F104" s="312">
        <v>7.0694467407341519E-2</v>
      </c>
      <c r="G104" s="340">
        <v>1.19</v>
      </c>
      <c r="H104" s="340">
        <v>1.57</v>
      </c>
      <c r="I104" s="312" t="s">
        <v>592</v>
      </c>
      <c r="J104" s="101" t="s">
        <v>366</v>
      </c>
      <c r="K104" s="298" t="s">
        <v>696</v>
      </c>
    </row>
    <row r="105" spans="1:11" ht="8.25" customHeight="1" x14ac:dyDescent="0.2">
      <c r="A105" s="138"/>
      <c r="I105" s="3"/>
    </row>
    <row r="106" spans="1:11" s="86" customFormat="1" x14ac:dyDescent="0.2">
      <c r="A106" s="337" t="s">
        <v>908</v>
      </c>
      <c r="B106" s="86" t="s">
        <v>803</v>
      </c>
      <c r="C106" s="101" t="s">
        <v>822</v>
      </c>
      <c r="D106" s="338">
        <f>or_dead_pras_clop</f>
        <v>1</v>
      </c>
      <c r="E106" s="315">
        <v>1769</v>
      </c>
      <c r="F106" s="304">
        <v>9.616069841840387E-2</v>
      </c>
      <c r="G106" s="338">
        <v>0.83</v>
      </c>
      <c r="H106" s="338">
        <v>1.21</v>
      </c>
      <c r="I106" s="312" t="s">
        <v>592</v>
      </c>
      <c r="J106" s="101" t="s">
        <v>366</v>
      </c>
      <c r="K106" s="298" t="s">
        <v>696</v>
      </c>
    </row>
    <row r="107" spans="1:11" s="86" customFormat="1" x14ac:dyDescent="0.2">
      <c r="A107" s="337" t="s">
        <v>909</v>
      </c>
      <c r="B107" s="86" t="s">
        <v>804</v>
      </c>
      <c r="C107" s="101" t="s">
        <v>822</v>
      </c>
      <c r="D107" s="338">
        <f>or_mi_pras_clop</f>
        <v>0.75</v>
      </c>
      <c r="E107" s="315">
        <v>1769</v>
      </c>
      <c r="F107" s="304">
        <v>6.1520932861451015E-2</v>
      </c>
      <c r="G107" s="338">
        <v>0.66</v>
      </c>
      <c r="H107" s="338">
        <v>0.84</v>
      </c>
      <c r="I107" s="312" t="s">
        <v>592</v>
      </c>
      <c r="J107" s="101" t="s">
        <v>366</v>
      </c>
      <c r="K107" s="298" t="s">
        <v>696</v>
      </c>
    </row>
    <row r="108" spans="1:11" s="86" customFormat="1" x14ac:dyDescent="0.2">
      <c r="A108" s="337" t="s">
        <v>910</v>
      </c>
      <c r="B108" s="86" t="s">
        <v>805</v>
      </c>
      <c r="C108" s="101" t="s">
        <v>822</v>
      </c>
      <c r="D108" s="338">
        <f>or_stk_pras_clop</f>
        <v>0.93</v>
      </c>
      <c r="E108" s="315">
        <v>1769</v>
      </c>
      <c r="F108" s="304">
        <v>0.16909230384301435</v>
      </c>
      <c r="G108" s="338">
        <v>0.67</v>
      </c>
      <c r="H108" s="338">
        <v>1.3</v>
      </c>
      <c r="I108" s="312" t="s">
        <v>592</v>
      </c>
      <c r="J108" s="101" t="s">
        <v>366</v>
      </c>
      <c r="K108" s="298" t="s">
        <v>696</v>
      </c>
    </row>
    <row r="109" spans="1:11" s="86" customFormat="1" x14ac:dyDescent="0.2">
      <c r="A109" s="337" t="s">
        <v>911</v>
      </c>
      <c r="B109" s="86" t="s">
        <v>806</v>
      </c>
      <c r="C109" s="101" t="s">
        <v>822</v>
      </c>
      <c r="D109" s="338">
        <f>or_maj_bleed_pras_clop</f>
        <v>1.43</v>
      </c>
      <c r="E109" s="315">
        <v>1023</v>
      </c>
      <c r="F109" s="304">
        <v>0.11509881567506626</v>
      </c>
      <c r="G109" s="338">
        <v>1.1399999999999999</v>
      </c>
      <c r="H109" s="338">
        <v>1.79</v>
      </c>
      <c r="I109" s="312" t="s">
        <v>592</v>
      </c>
      <c r="J109" s="101" t="s">
        <v>366</v>
      </c>
      <c r="K109" s="298" t="s">
        <v>696</v>
      </c>
    </row>
    <row r="110" spans="1:11" s="86" customFormat="1" x14ac:dyDescent="0.2">
      <c r="A110" s="339" t="s">
        <v>912</v>
      </c>
      <c r="B110" s="86" t="s">
        <v>807</v>
      </c>
      <c r="C110" s="101" t="s">
        <v>822</v>
      </c>
      <c r="D110" s="340">
        <f>or_min_bleed_pras_clop</f>
        <v>2.0699999999999998</v>
      </c>
      <c r="E110" s="315">
        <v>1023</v>
      </c>
      <c r="F110" s="304">
        <v>0.43646104811336311</v>
      </c>
      <c r="G110" s="340">
        <v>0.88</v>
      </c>
      <c r="H110" s="340">
        <v>4.87</v>
      </c>
      <c r="I110" s="312" t="s">
        <v>592</v>
      </c>
      <c r="J110" s="101" t="s">
        <v>366</v>
      </c>
      <c r="K110" s="298" t="s">
        <v>696</v>
      </c>
    </row>
    <row r="111" spans="1:11" ht="7.5" customHeight="1" x14ac:dyDescent="0.2">
      <c r="A111" s="138"/>
      <c r="I111" s="3"/>
    </row>
    <row r="112" spans="1:11" s="86" customFormat="1" x14ac:dyDescent="0.2">
      <c r="A112" s="323" t="s">
        <v>1242</v>
      </c>
      <c r="B112" s="86" t="s">
        <v>1245</v>
      </c>
      <c r="C112" s="101" t="s">
        <v>822</v>
      </c>
      <c r="D112" s="308">
        <v>1</v>
      </c>
      <c r="E112" s="315">
        <v>3554</v>
      </c>
      <c r="F112" s="304">
        <f t="shared" ref="F112:F115" si="0">(LN(H112)-LN(G112))/(2*1.96)</f>
        <v>0.11384875067051517</v>
      </c>
      <c r="G112" s="296">
        <v>0.8</v>
      </c>
      <c r="H112" s="296">
        <v>1.25</v>
      </c>
      <c r="I112" s="312" t="s">
        <v>592</v>
      </c>
      <c r="J112" s="101" t="s">
        <v>1249</v>
      </c>
      <c r="K112" s="86" t="s">
        <v>1250</v>
      </c>
    </row>
    <row r="113" spans="1:11" s="86" customFormat="1" x14ac:dyDescent="0.2">
      <c r="A113" s="323" t="s">
        <v>1243</v>
      </c>
      <c r="B113" s="86" t="s">
        <v>1246</v>
      </c>
      <c r="C113" s="101" t="s">
        <v>822</v>
      </c>
      <c r="D113" s="308">
        <v>1</v>
      </c>
      <c r="E113" s="315">
        <v>3554</v>
      </c>
      <c r="F113" s="304">
        <f t="shared" si="0"/>
        <v>0.11384875067051517</v>
      </c>
      <c r="G113" s="296">
        <v>0.8</v>
      </c>
      <c r="H113" s="296">
        <v>1.25</v>
      </c>
      <c r="I113" s="312" t="s">
        <v>592</v>
      </c>
      <c r="J113" s="101" t="s">
        <v>1249</v>
      </c>
      <c r="K113" s="86" t="s">
        <v>1250</v>
      </c>
    </row>
    <row r="114" spans="1:11" s="86" customFormat="1" x14ac:dyDescent="0.2">
      <c r="A114" s="323" t="s">
        <v>1244</v>
      </c>
      <c r="B114" s="86" t="s">
        <v>1247</v>
      </c>
      <c r="C114" s="101" t="s">
        <v>822</v>
      </c>
      <c r="D114" s="308">
        <v>1</v>
      </c>
      <c r="E114" s="315">
        <v>3554</v>
      </c>
      <c r="F114" s="304">
        <f t="shared" si="0"/>
        <v>0.11384875067051517</v>
      </c>
      <c r="G114" s="296">
        <v>0.8</v>
      </c>
      <c r="H114" s="296">
        <v>1.25</v>
      </c>
      <c r="I114" s="312" t="s">
        <v>592</v>
      </c>
      <c r="J114" s="101" t="s">
        <v>1249</v>
      </c>
      <c r="K114" s="86" t="s">
        <v>1250</v>
      </c>
    </row>
    <row r="115" spans="1:11" s="86" customFormat="1" x14ac:dyDescent="0.2">
      <c r="A115" s="86" t="s">
        <v>1240</v>
      </c>
      <c r="B115" s="86" t="s">
        <v>1248</v>
      </c>
      <c r="C115" s="101" t="s">
        <v>822</v>
      </c>
      <c r="D115" s="308">
        <v>1</v>
      </c>
      <c r="E115" s="315">
        <v>1023</v>
      </c>
      <c r="F115" s="304">
        <f t="shared" si="0"/>
        <v>7.7112467314523869E-2</v>
      </c>
      <c r="G115" s="296">
        <v>0.85</v>
      </c>
      <c r="H115" s="296">
        <v>1.1499999999999999</v>
      </c>
      <c r="I115" s="312" t="s">
        <v>592</v>
      </c>
      <c r="J115" s="101" t="s">
        <v>1249</v>
      </c>
      <c r="K115" s="86" t="s">
        <v>1250</v>
      </c>
    </row>
    <row r="116" spans="1:11" s="86" customFormat="1" x14ac:dyDescent="0.2">
      <c r="A116" s="86" t="s">
        <v>1241</v>
      </c>
      <c r="B116" s="86" t="s">
        <v>824</v>
      </c>
      <c r="C116" s="101" t="s">
        <v>822</v>
      </c>
      <c r="D116" s="308">
        <v>1</v>
      </c>
      <c r="E116" s="315">
        <v>1023</v>
      </c>
      <c r="F116" s="304">
        <f>(LN(H116)-LN(G116))/(2*1.96)</f>
        <v>7.7112467314523869E-2</v>
      </c>
      <c r="G116" s="296">
        <v>0.85</v>
      </c>
      <c r="H116" s="296">
        <v>1.1499999999999999</v>
      </c>
      <c r="I116" s="312" t="s">
        <v>592</v>
      </c>
      <c r="J116" s="101" t="s">
        <v>1249</v>
      </c>
      <c r="K116" s="86" t="s">
        <v>1250</v>
      </c>
    </row>
    <row r="117" spans="1:11" ht="8.25" customHeight="1" x14ac:dyDescent="0.2">
      <c r="I117" s="3"/>
    </row>
    <row r="118" spans="1:11" s="86" customFormat="1" x14ac:dyDescent="0.2">
      <c r="A118" s="323" t="s">
        <v>1069</v>
      </c>
      <c r="B118" s="86" t="s">
        <v>1060</v>
      </c>
      <c r="C118" s="101" t="s">
        <v>855</v>
      </c>
      <c r="D118" s="336">
        <v>7.85E-2</v>
      </c>
      <c r="E118" s="304">
        <v>4387</v>
      </c>
      <c r="F118" s="341">
        <f>SQRT(prob_dys_ac * (1 - prob_dys_ac) / E118)</f>
        <v>4.0606792004202674E-3</v>
      </c>
      <c r="G118" s="341">
        <f>prob_dys_ac-(1.96*F118)</f>
        <v>7.0541068767176279E-2</v>
      </c>
      <c r="H118" s="341">
        <f>prob_dys_ac+(1.96*G118)</f>
        <v>0.21676049478366549</v>
      </c>
      <c r="I118" s="312" t="s">
        <v>592</v>
      </c>
      <c r="J118" s="101" t="s">
        <v>366</v>
      </c>
      <c r="K118" s="298" t="s">
        <v>696</v>
      </c>
    </row>
    <row r="119" spans="1:11" s="86" customFormat="1" x14ac:dyDescent="0.2">
      <c r="A119" s="323" t="s">
        <v>1070</v>
      </c>
      <c r="B119" s="86" t="s">
        <v>1061</v>
      </c>
      <c r="C119" s="101" t="s">
        <v>855</v>
      </c>
      <c r="D119" s="304">
        <f xml:space="preserve"> (or_dys_at_ac * prob_dys_ac) / (1 - prob_dys_ac + (or_dys_at_ac * prob_dys_ac))</f>
        <v>0.13102518282419173</v>
      </c>
      <c r="E119" s="304">
        <v>4387</v>
      </c>
      <c r="F119" s="310">
        <f>(H119-G119)/2*1.96</f>
        <v>2.963236612375679E-2</v>
      </c>
      <c r="G119" s="341">
        <f>(((prob_dys_ac/(1-prob_dys_ac)))*G121)/(1+(((prob_dys_ac/(1-prob_dys_ac)))*G121))</f>
        <v>0.12126789171045228</v>
      </c>
      <c r="H119" s="341">
        <f>(((prob_dys_ac/(1-prob_dys_ac)))*H121)/(1+(((prob_dys_ac/(1-prob_dys_ac)))))</f>
        <v>0.15150500000000003</v>
      </c>
      <c r="I119" s="312" t="s">
        <v>592</v>
      </c>
      <c r="J119" s="101" t="s">
        <v>366</v>
      </c>
      <c r="K119" s="298" t="s">
        <v>696</v>
      </c>
    </row>
    <row r="120" spans="1:11" s="86" customFormat="1" x14ac:dyDescent="0.2">
      <c r="A120" s="323" t="s">
        <v>1071</v>
      </c>
      <c r="B120" s="86" t="s">
        <v>1062</v>
      </c>
      <c r="C120" s="101" t="s">
        <v>855</v>
      </c>
      <c r="D120" s="336">
        <v>7.85E-2</v>
      </c>
      <c r="E120" s="304">
        <v>4387</v>
      </c>
      <c r="F120" s="341">
        <f>SQRT(prob_dys_ac * (1 - prob_dys_ac) / E120)</f>
        <v>4.0606792004202674E-3</v>
      </c>
      <c r="G120" s="341">
        <f>prob_dys_ac-(1.96*F120)</f>
        <v>7.0541068767176279E-2</v>
      </c>
      <c r="H120" s="341">
        <f>prob_dys_ac+(1.96*G120)</f>
        <v>0.21676049478366549</v>
      </c>
      <c r="I120" s="312" t="s">
        <v>592</v>
      </c>
      <c r="J120" s="101" t="s">
        <v>366</v>
      </c>
      <c r="K120" s="298" t="s">
        <v>696</v>
      </c>
    </row>
    <row r="121" spans="1:11" s="86" customFormat="1" x14ac:dyDescent="0.2">
      <c r="A121" s="86" t="s">
        <v>1072</v>
      </c>
      <c r="B121" s="86" t="s">
        <v>1063</v>
      </c>
      <c r="C121" s="101" t="s">
        <v>822</v>
      </c>
      <c r="D121" s="101">
        <v>1.77</v>
      </c>
      <c r="E121" s="304">
        <v>4387</v>
      </c>
      <c r="F121" s="296" t="s">
        <v>350</v>
      </c>
      <c r="G121" s="296">
        <v>1.62</v>
      </c>
      <c r="H121" s="296">
        <v>1.93</v>
      </c>
      <c r="I121" s="312" t="s">
        <v>592</v>
      </c>
      <c r="J121" s="101" t="s">
        <v>366</v>
      </c>
      <c r="K121" s="298" t="s">
        <v>696</v>
      </c>
    </row>
    <row r="122" spans="1:11" ht="7.5" customHeight="1" x14ac:dyDescent="0.2"/>
    <row r="123" spans="1:11" s="86" customFormat="1" x14ac:dyDescent="0.2">
      <c r="A123" s="302" t="s">
        <v>1073</v>
      </c>
      <c r="B123" s="302" t="s">
        <v>1057</v>
      </c>
      <c r="C123" s="302" t="s">
        <v>823</v>
      </c>
      <c r="D123" s="328">
        <v>44.5</v>
      </c>
      <c r="E123" s="308" t="s">
        <v>350</v>
      </c>
      <c r="F123" s="308" t="s">
        <v>350</v>
      </c>
      <c r="G123" s="308" t="s">
        <v>350</v>
      </c>
      <c r="H123" s="308" t="s">
        <v>350</v>
      </c>
      <c r="I123" s="101" t="s">
        <v>671</v>
      </c>
      <c r="J123" s="101" t="s">
        <v>366</v>
      </c>
      <c r="K123" s="298" t="s">
        <v>696</v>
      </c>
    </row>
    <row r="124" spans="1:11" s="86" customFormat="1" x14ac:dyDescent="0.2">
      <c r="A124" s="302" t="s">
        <v>1074</v>
      </c>
      <c r="B124" s="302" t="s">
        <v>1064</v>
      </c>
      <c r="C124" s="302" t="s">
        <v>823</v>
      </c>
      <c r="D124" s="328">
        <f>c_dys_pp*prob_dys_ac</f>
        <v>3.4932500000000002</v>
      </c>
      <c r="E124" s="308" t="s">
        <v>350</v>
      </c>
      <c r="F124" s="308" t="s">
        <v>350</v>
      </c>
      <c r="G124" s="308" t="s">
        <v>350</v>
      </c>
      <c r="H124" s="308" t="s">
        <v>350</v>
      </c>
      <c r="I124" s="101" t="s">
        <v>671</v>
      </c>
      <c r="J124" s="101" t="s">
        <v>366</v>
      </c>
      <c r="K124" s="298" t="s">
        <v>696</v>
      </c>
    </row>
    <row r="125" spans="1:11" s="86" customFormat="1" x14ac:dyDescent="0.2">
      <c r="A125" s="302" t="s">
        <v>1075</v>
      </c>
      <c r="B125" s="302" t="s">
        <v>1065</v>
      </c>
      <c r="C125" s="302" t="s">
        <v>823</v>
      </c>
      <c r="D125" s="328">
        <f>c_dys_pp*prob_dys_at</f>
        <v>5.8306206356765324</v>
      </c>
      <c r="E125" s="308" t="s">
        <v>350</v>
      </c>
      <c r="F125" s="308" t="s">
        <v>350</v>
      </c>
      <c r="G125" s="308" t="s">
        <v>350</v>
      </c>
      <c r="H125" s="308" t="s">
        <v>350</v>
      </c>
      <c r="I125" s="101" t="s">
        <v>671</v>
      </c>
      <c r="J125" s="101" t="s">
        <v>366</v>
      </c>
      <c r="K125" s="298" t="s">
        <v>696</v>
      </c>
    </row>
    <row r="126" spans="1:11" s="86" customFormat="1" x14ac:dyDescent="0.2">
      <c r="A126" s="302" t="s">
        <v>1076</v>
      </c>
      <c r="B126" s="302" t="s">
        <v>1066</v>
      </c>
      <c r="C126" s="302" t="s">
        <v>823</v>
      </c>
      <c r="D126" s="328">
        <f>c_dys_pp*prob_dys_ap</f>
        <v>3.4932500000000002</v>
      </c>
      <c r="E126" s="308" t="s">
        <v>350</v>
      </c>
      <c r="F126" s="308" t="s">
        <v>350</v>
      </c>
      <c r="G126" s="308" t="s">
        <v>350</v>
      </c>
      <c r="H126" s="308" t="s">
        <v>350</v>
      </c>
      <c r="I126" s="101" t="s">
        <v>671</v>
      </c>
      <c r="J126" s="101" t="s">
        <v>366</v>
      </c>
      <c r="K126" s="298" t="s">
        <v>696</v>
      </c>
    </row>
    <row r="127" spans="1:11" ht="8.25" customHeight="1" x14ac:dyDescent="0.2">
      <c r="I127" s="3"/>
    </row>
    <row r="128" spans="1:11" s="86" customFormat="1" x14ac:dyDescent="0.2">
      <c r="A128" s="302" t="s">
        <v>1077</v>
      </c>
      <c r="B128" s="302" t="s">
        <v>1067</v>
      </c>
      <c r="C128" s="101"/>
      <c r="D128" s="101">
        <v>4.9000000000000002E-2</v>
      </c>
      <c r="E128" s="308" t="s">
        <v>350</v>
      </c>
      <c r="F128" s="308" t="s">
        <v>350</v>
      </c>
      <c r="G128" s="308" t="s">
        <v>350</v>
      </c>
      <c r="H128" s="308" t="s">
        <v>350</v>
      </c>
      <c r="I128" s="312" t="s">
        <v>720</v>
      </c>
      <c r="J128" s="101" t="s">
        <v>366</v>
      </c>
      <c r="K128" s="298" t="s">
        <v>696</v>
      </c>
    </row>
    <row r="129" spans="1:11" s="86" customFormat="1" x14ac:dyDescent="0.2">
      <c r="A129" s="302" t="s">
        <v>1078</v>
      </c>
      <c r="B129" s="302" t="s">
        <v>1068</v>
      </c>
      <c r="C129" s="101"/>
      <c r="D129" s="101">
        <v>30</v>
      </c>
      <c r="E129" s="308" t="s">
        <v>350</v>
      </c>
      <c r="F129" s="308" t="s">
        <v>350</v>
      </c>
      <c r="G129" s="308" t="s">
        <v>350</v>
      </c>
      <c r="H129" s="308" t="s">
        <v>350</v>
      </c>
      <c r="I129" s="312" t="s">
        <v>1052</v>
      </c>
      <c r="J129" s="101" t="s">
        <v>366</v>
      </c>
      <c r="K129" s="298" t="s">
        <v>696</v>
      </c>
    </row>
    <row r="130" spans="1:11" s="86" customFormat="1" x14ac:dyDescent="0.2">
      <c r="A130" s="302" t="s">
        <v>1079</v>
      </c>
      <c r="B130" s="302" t="s">
        <v>1049</v>
      </c>
      <c r="C130" s="101"/>
      <c r="D130" s="341">
        <f>u_dec_dys*(duration_dys/365)*prob_dys_ac</f>
        <v>3.1615068493150687E-4</v>
      </c>
      <c r="E130" s="308" t="s">
        <v>350</v>
      </c>
      <c r="F130" s="308" t="s">
        <v>350</v>
      </c>
      <c r="G130" s="308" t="s">
        <v>350</v>
      </c>
      <c r="H130" s="308" t="s">
        <v>350</v>
      </c>
      <c r="I130" s="312" t="s">
        <v>720</v>
      </c>
      <c r="J130" s="101" t="s">
        <v>366</v>
      </c>
      <c r="K130" s="298" t="s">
        <v>696</v>
      </c>
    </row>
    <row r="131" spans="1:11" s="86" customFormat="1" x14ac:dyDescent="0.2">
      <c r="A131" s="302" t="s">
        <v>1080</v>
      </c>
      <c r="B131" s="302" t="s">
        <v>1050</v>
      </c>
      <c r="C131" s="101"/>
      <c r="D131" s="341">
        <f>u_dec_dys*(duration_dys/365)*prob_dys_at</f>
        <v>5.2769046233304613E-4</v>
      </c>
      <c r="E131" s="308" t="s">
        <v>350</v>
      </c>
      <c r="F131" s="308" t="s">
        <v>350</v>
      </c>
      <c r="G131" s="308" t="s">
        <v>350</v>
      </c>
      <c r="H131" s="308" t="s">
        <v>350</v>
      </c>
      <c r="I131" s="312" t="s">
        <v>720</v>
      </c>
      <c r="J131" s="101" t="s">
        <v>366</v>
      </c>
      <c r="K131" s="298" t="s">
        <v>696</v>
      </c>
    </row>
    <row r="132" spans="1:11" s="86" customFormat="1" x14ac:dyDescent="0.2">
      <c r="A132" s="302" t="s">
        <v>1081</v>
      </c>
      <c r="B132" s="302" t="s">
        <v>1051</v>
      </c>
      <c r="C132" s="101"/>
      <c r="D132" s="341">
        <f>u_dec_dys*(duration_dys/365)*prob_dys_ap</f>
        <v>3.1615068493150687E-4</v>
      </c>
      <c r="E132" s="308" t="s">
        <v>350</v>
      </c>
      <c r="F132" s="308" t="s">
        <v>350</v>
      </c>
      <c r="G132" s="308" t="s">
        <v>350</v>
      </c>
      <c r="H132" s="308" t="s">
        <v>350</v>
      </c>
      <c r="I132" s="312" t="s">
        <v>720</v>
      </c>
      <c r="J132" s="101" t="s">
        <v>366</v>
      </c>
      <c r="K132" s="298" t="s">
        <v>696</v>
      </c>
    </row>
    <row r="133" spans="1:11" ht="8.25" customHeight="1" x14ac:dyDescent="0.2"/>
    <row r="134" spans="1:11" x14ac:dyDescent="0.2">
      <c r="A134" s="367" t="s">
        <v>1154</v>
      </c>
      <c r="B134" s="364" t="s">
        <v>1148</v>
      </c>
      <c r="C134" s="362" t="s">
        <v>818</v>
      </c>
      <c r="D134" s="368">
        <v>0.26</v>
      </c>
      <c r="J134" s="3" t="s">
        <v>1153</v>
      </c>
    </row>
    <row r="135" spans="1:11" x14ac:dyDescent="0.2">
      <c r="A135" s="367" t="s">
        <v>1155</v>
      </c>
      <c r="B135" s="364" t="s">
        <v>1149</v>
      </c>
      <c r="C135" s="362" t="s">
        <v>818</v>
      </c>
      <c r="D135" s="368">
        <v>0.65629999999999999</v>
      </c>
      <c r="J135" s="3" t="s">
        <v>1153</v>
      </c>
    </row>
    <row r="136" spans="1:11" x14ac:dyDescent="0.2">
      <c r="A136" s="367" t="s">
        <v>1156</v>
      </c>
      <c r="B136" s="364" t="s">
        <v>1150</v>
      </c>
      <c r="C136" s="362" t="s">
        <v>818</v>
      </c>
      <c r="D136" s="368">
        <v>8.4000000000000005E-2</v>
      </c>
      <c r="J136" s="3" t="s">
        <v>1153</v>
      </c>
    </row>
    <row r="137" spans="1:11" x14ac:dyDescent="0.2">
      <c r="A137" s="367" t="s">
        <v>1157</v>
      </c>
      <c r="B137" s="364" t="s">
        <v>1151</v>
      </c>
      <c r="C137" s="362" t="s">
        <v>855</v>
      </c>
      <c r="D137" s="368">
        <v>0.89</v>
      </c>
      <c r="J137" s="3" t="s">
        <v>1022</v>
      </c>
    </row>
    <row r="138" spans="1:11" ht="16" x14ac:dyDescent="0.2">
      <c r="A138" s="367" t="s">
        <v>1158</v>
      </c>
      <c r="B138" s="364" t="s">
        <v>1152</v>
      </c>
      <c r="C138" s="362" t="s">
        <v>855</v>
      </c>
      <c r="D138" s="368">
        <v>0.69899999999999995</v>
      </c>
      <c r="J138" s="136" t="s">
        <v>1093</v>
      </c>
    </row>
    <row r="139" spans="1:11" x14ac:dyDescent="0.2">
      <c r="A139" s="367" t="s">
        <v>1159</v>
      </c>
      <c r="B139" s="368" t="s">
        <v>1160</v>
      </c>
      <c r="C139" s="368" t="s">
        <v>818</v>
      </c>
      <c r="D139" s="368">
        <v>0.56799999999999995</v>
      </c>
      <c r="J139" s="3" t="s">
        <v>648</v>
      </c>
    </row>
    <row r="140" spans="1:11" ht="8.25" customHeight="1" x14ac:dyDescent="0.2"/>
    <row r="141" spans="1:11" ht="16" x14ac:dyDescent="0.2">
      <c r="A141" s="367" t="s">
        <v>1164</v>
      </c>
      <c r="B141" s="361" t="s">
        <v>1024</v>
      </c>
      <c r="C141" s="362"/>
      <c r="D141" s="369">
        <v>7.1999999999999998E-3</v>
      </c>
      <c r="J141" s="136" t="s">
        <v>1025</v>
      </c>
    </row>
    <row r="142" spans="1:11" ht="16" x14ac:dyDescent="0.2">
      <c r="A142" s="367" t="s">
        <v>1163</v>
      </c>
      <c r="B142" s="361" t="s">
        <v>1028</v>
      </c>
      <c r="C142" s="362"/>
      <c r="D142" s="371">
        <f>0.066*0.82</f>
        <v>5.4120000000000001E-2</v>
      </c>
      <c r="J142" s="136" t="s">
        <v>1026</v>
      </c>
      <c r="K142" s="140" t="s">
        <v>1027</v>
      </c>
    </row>
    <row r="143" spans="1:11" ht="16" x14ac:dyDescent="0.2">
      <c r="A143" s="367" t="s">
        <v>1167</v>
      </c>
      <c r="B143" s="361" t="s">
        <v>1165</v>
      </c>
      <c r="C143" s="362" t="s">
        <v>822</v>
      </c>
      <c r="D143" s="362">
        <f>smr_noevent*0.8</f>
        <v>1.6</v>
      </c>
      <c r="J143" s="136" t="s">
        <v>1032</v>
      </c>
    </row>
    <row r="144" spans="1:11" x14ac:dyDescent="0.2">
      <c r="A144" s="367" t="s">
        <v>1166</v>
      </c>
      <c r="B144" s="361" t="s">
        <v>1168</v>
      </c>
      <c r="C144" s="362" t="s">
        <v>822</v>
      </c>
      <c r="D144" s="362">
        <f>smr_rinfar*0.8</f>
        <v>3.6</v>
      </c>
      <c r="J144" s="136"/>
    </row>
    <row r="145" spans="1:10" ht="16" x14ac:dyDescent="0.2">
      <c r="A145" s="367" t="s">
        <v>1169</v>
      </c>
      <c r="B145" s="361" t="s">
        <v>1170</v>
      </c>
      <c r="C145" s="362" t="s">
        <v>822</v>
      </c>
      <c r="D145" s="362">
        <f>smr_post_rinfar*0.8</f>
        <v>2.4000000000000004</v>
      </c>
      <c r="J145" s="136" t="s">
        <v>1035</v>
      </c>
    </row>
    <row r="146" spans="1:10" ht="8.25" customHeight="1" x14ac:dyDescent="0.2">
      <c r="A146" s="370"/>
      <c r="J146" s="136"/>
    </row>
    <row r="147" spans="1:10" ht="14.5" customHeight="1" x14ac:dyDescent="0.2">
      <c r="A147" s="360" t="s">
        <v>1147</v>
      </c>
      <c r="B147" s="361" t="s">
        <v>1132</v>
      </c>
      <c r="C147" s="362" t="s">
        <v>823</v>
      </c>
      <c r="D147" s="363">
        <v>893.20396071179425</v>
      </c>
      <c r="J147" s="136" t="s">
        <v>1035</v>
      </c>
    </row>
    <row r="148" spans="1:10" ht="14.5" customHeight="1" x14ac:dyDescent="0.2">
      <c r="A148" s="360" t="s">
        <v>1146</v>
      </c>
      <c r="B148" s="361" t="s">
        <v>1266</v>
      </c>
      <c r="C148" s="362" t="s">
        <v>823</v>
      </c>
      <c r="D148" s="363">
        <v>3528.2167394737421</v>
      </c>
      <c r="J148" s="136" t="s">
        <v>1035</v>
      </c>
    </row>
    <row r="149" spans="1:10" ht="14.5" customHeight="1" x14ac:dyDescent="0.2">
      <c r="A149" s="360" t="s">
        <v>1145</v>
      </c>
      <c r="B149" s="361" t="s">
        <v>1133</v>
      </c>
      <c r="C149" s="362" t="s">
        <v>823</v>
      </c>
      <c r="D149" s="363">
        <v>3848.9637157895368</v>
      </c>
      <c r="J149" s="136" t="s">
        <v>1035</v>
      </c>
    </row>
    <row r="150" spans="1:10" ht="14.5" customHeight="1" x14ac:dyDescent="0.2">
      <c r="A150" s="360" t="s">
        <v>1144</v>
      </c>
      <c r="B150" s="361" t="s">
        <v>1134</v>
      </c>
      <c r="C150" s="362" t="s">
        <v>823</v>
      </c>
      <c r="D150" s="363">
        <v>4169.7106921053319</v>
      </c>
      <c r="J150" s="136" t="s">
        <v>1035</v>
      </c>
    </row>
    <row r="151" spans="1:10" ht="14.5" customHeight="1" x14ac:dyDescent="0.2">
      <c r="A151" s="360" t="s">
        <v>1143</v>
      </c>
      <c r="B151" s="361" t="s">
        <v>1135</v>
      </c>
      <c r="C151" s="362" t="s">
        <v>823</v>
      </c>
      <c r="D151" s="363">
        <v>4490.4576684211261</v>
      </c>
      <c r="J151" s="136" t="s">
        <v>1035</v>
      </c>
    </row>
    <row r="152" spans="1:10" ht="8.25" customHeight="1" x14ac:dyDescent="0.2">
      <c r="B152" s="104"/>
      <c r="C152" s="352"/>
    </row>
    <row r="153" spans="1:10" ht="16" x14ac:dyDescent="0.2">
      <c r="A153" s="360" t="s">
        <v>1172</v>
      </c>
      <c r="B153" s="360" t="s">
        <v>1171</v>
      </c>
      <c r="C153" s="363" t="s">
        <v>1177</v>
      </c>
      <c r="D153" s="369">
        <v>0.84199999999999997</v>
      </c>
      <c r="J153" s="136" t="s">
        <v>1035</v>
      </c>
    </row>
    <row r="154" spans="1:10" ht="16" x14ac:dyDescent="0.2">
      <c r="A154" s="360" t="s">
        <v>1173</v>
      </c>
      <c r="B154" s="360" t="s">
        <v>1171</v>
      </c>
      <c r="C154" s="363" t="s">
        <v>1177</v>
      </c>
      <c r="D154" s="369">
        <v>0.77900000000000003</v>
      </c>
      <c r="H154" s="174"/>
      <c r="J154" s="136" t="s">
        <v>1035</v>
      </c>
    </row>
    <row r="155" spans="1:10" ht="16" x14ac:dyDescent="0.2">
      <c r="A155" s="360" t="s">
        <v>1174</v>
      </c>
      <c r="B155" s="360" t="s">
        <v>1171</v>
      </c>
      <c r="C155" s="363" t="s">
        <v>1177</v>
      </c>
      <c r="D155" s="369">
        <v>0.82099999999999995</v>
      </c>
      <c r="J155" s="136" t="s">
        <v>1035</v>
      </c>
    </row>
    <row r="156" spans="1:10" ht="16" x14ac:dyDescent="0.2">
      <c r="A156" s="360" t="s">
        <v>1176</v>
      </c>
      <c r="B156" s="360" t="s">
        <v>1171</v>
      </c>
      <c r="C156" s="363" t="s">
        <v>1177</v>
      </c>
      <c r="D156" s="369">
        <v>0.70299999999999996</v>
      </c>
      <c r="J156" s="136" t="s">
        <v>1035</v>
      </c>
    </row>
    <row r="157" spans="1:10" ht="16" x14ac:dyDescent="0.2">
      <c r="A157" s="360" t="s">
        <v>1175</v>
      </c>
      <c r="B157" s="360" t="s">
        <v>1171</v>
      </c>
      <c r="C157" s="363" t="s">
        <v>1177</v>
      </c>
      <c r="D157" s="369">
        <v>0.70299999999999996</v>
      </c>
      <c r="J157" s="136" t="s">
        <v>1035</v>
      </c>
    </row>
    <row r="158" spans="1:10" ht="16" x14ac:dyDescent="0.2">
      <c r="A158" s="365" t="s">
        <v>1142</v>
      </c>
      <c r="B158" s="361" t="s">
        <v>1161</v>
      </c>
      <c r="C158" s="363" t="s">
        <v>1177</v>
      </c>
      <c r="D158" s="366">
        <v>1.4999999999999999E-2</v>
      </c>
      <c r="J158" s="136" t="s">
        <v>1035</v>
      </c>
    </row>
    <row r="159" spans="1:10" ht="16" x14ac:dyDescent="0.2">
      <c r="A159" s="365" t="s">
        <v>1141</v>
      </c>
      <c r="B159" s="361" t="s">
        <v>1162</v>
      </c>
      <c r="C159" s="363" t="s">
        <v>1177</v>
      </c>
      <c r="D159" s="366">
        <v>1.4999999999999999E-2</v>
      </c>
      <c r="J159" s="136" t="s">
        <v>1035</v>
      </c>
    </row>
  </sheetData>
  <mergeCells count="1">
    <mergeCell ref="K13:Q13"/>
  </mergeCells>
  <phoneticPr fontId="4" type="noConversion"/>
  <hyperlinks>
    <hyperlink ref="K7" r:id="rId1" display="https://doi.org/10.1161/jaha.124.034414" xr:uid="{87B888CF-C254-43A4-B687-6E0E14D14D9D}"/>
    <hyperlink ref="K8:K9" r:id="rId2" display="https://doi.org/10.1161/jaha.124.034414" xr:uid="{34E7070D-C8E9-4281-9EB2-228C28D4D65D}"/>
    <hyperlink ref="K3" r:id="rId3" display="https://www.ncbi.nlm.nih.gov/books/NBK565353/" xr:uid="{11E96574-D2FC-4989-9A31-F3AD52E27AC7}"/>
    <hyperlink ref="K6" r:id="rId4" display="https://www.ncbi.nlm.nih.gov/books/NBK565353/" xr:uid="{E4D8AA0A-F5DF-49BA-98F9-4B2A909F5A1E}"/>
    <hyperlink ref="K14" r:id="rId5" display="https://doi.org/10.1136/openhrt-2018-000951" xr:uid="{02B81B32-B658-4E1F-AB91-BC848C7A9D10}"/>
    <hyperlink ref="K15" r:id="rId6" display="https://doi.org/10.1093/eurheartj/ehx515" xr:uid="{F936F48D-4A78-4E64-B4D2-5493E445BFCE}"/>
    <hyperlink ref="K19" r:id="rId7" display="https://www.ncbi.nlm.nih.gov/books/NBK565353/" xr:uid="{55CD8380-D3FD-4EEA-8FA7-5AAAE86E5E9C}"/>
    <hyperlink ref="K20:K23" r:id="rId8" display="https://www.ncbi.nlm.nih.gov/books/NBK565353/" xr:uid="{D730A298-1680-4F5E-BFAD-AD483B118089}"/>
    <hyperlink ref="K25" r:id="rId9" display="https://www.ncbi.nlm.nih.gov/books/NBK565353/" xr:uid="{1A92CCA6-D01F-43AB-A032-77F60ADB268B}"/>
    <hyperlink ref="K26:K29" r:id="rId10" display="https://www.ncbi.nlm.nih.gov/books/NBK565353/" xr:uid="{0470DC79-BF63-462A-8D0C-CADFEAE783EA}"/>
    <hyperlink ref="K31" r:id="rId11" display="https://doi.org/10.1111/cts.12830" xr:uid="{A009EBC2-AB84-4EA2-BE42-CEC2963111C8}"/>
    <hyperlink ref="K32" r:id="rId12" display="https://doi.org/10.1111/cts.12830" xr:uid="{102D8442-69D3-40BB-BA44-4E0109EF1773}"/>
    <hyperlink ref="K43" r:id="rId13" display="https://doi.org/10.1056/nejmoa0904327" xr:uid="{C5DB8040-C879-43A5-A97E-4A1606D24FB7}"/>
    <hyperlink ref="K42" r:id="rId14" display="https://doi.org/10.1056/nejmoa0904327" xr:uid="{93C6B207-7AF6-4D06-AE23-F3E1DA1270D4}"/>
    <hyperlink ref="K44" r:id="rId15" display="https://doi.org/10.1056/nejmoa0904327" xr:uid="{D02D67CC-D4C3-48D1-9812-B127DFAFCA39}"/>
    <hyperlink ref="K45" r:id="rId16" display="https://hqlo.biomedcentral.com/articles/10.1186/s12955-018-1019-3" xr:uid="{9B27ABB7-D38C-48C8-8A97-1BB80F2C44BD}"/>
    <hyperlink ref="K46" r:id="rId17" display="https://hqlo.biomedcentral.com/articles/10.1186/s12955-018-1019-3" xr:uid="{976B669B-31B7-4B58-8926-527B87757BD2}"/>
    <hyperlink ref="K47" r:id="rId18" display="https://hqlo.biomedcentral.com/articles/10.1186/s12955-018-1019-3" xr:uid="{B952C32E-4069-4F71-AC86-CF91EE417FAC}"/>
    <hyperlink ref="K48" r:id="rId19" display="https://hqlo.biomedcentral.com/articles/10.1186/s12955-018-1019-3" xr:uid="{DF4EF952-5E79-4834-933C-4E12A5160537}"/>
    <hyperlink ref="K56" r:id="rId20" display="https://doi.org/10.1161/circoutcomes.111.964700" xr:uid="{B6328660-FC3D-490A-88D4-322E3DD886FC}"/>
    <hyperlink ref="K57" r:id="rId21" display="https://doi.org/10.1161/circoutcomes.111.964700" xr:uid="{5A7CBC63-52C3-4ED6-8197-A5107760492F}"/>
    <hyperlink ref="K58" r:id="rId22" display="https://doi.org/10.1161/circoutcomes.111.964700" xr:uid="{FEDCD1E6-1E28-4967-8436-EE768C249DD8}"/>
    <hyperlink ref="K59" r:id="rId23" display="https://doi.org/10.1191/135248506ms1280oa" xr:uid="{33D9A45B-B263-4B06-934B-13EE66F43279}"/>
    <hyperlink ref="K60" r:id="rId24" display="https://doi.org/10.1191/135248506ms1280oa" xr:uid="{BC74B3F2-1230-40DB-A312-8F7DB3263D4C}"/>
    <hyperlink ref="K79" r:id="rId25" display="https://www.ncbi.nlm.nih.gov/books/NBK565353/" xr:uid="{427CD000-1C24-4909-AA73-9B9629B88C00}"/>
    <hyperlink ref="K80:K85" r:id="rId26" display="https://www.ncbi.nlm.nih.gov/books/NBK565353/" xr:uid="{A9718F34-7338-4790-9C07-B7A62FAA1D37}"/>
    <hyperlink ref="K90" r:id="rId27" display="https://www.ncbi.nlm.nih.gov/books/NBK565353/" xr:uid="{277308BA-69EB-4972-9798-A1728091FB85}"/>
    <hyperlink ref="K91:K94" r:id="rId28" display="https://www.ncbi.nlm.nih.gov/books/NBK565353/" xr:uid="{FE5FC674-D016-4A07-8064-3203D3D2141E}"/>
    <hyperlink ref="K96" r:id="rId29" location="discounting" xr:uid="{6C0DECBD-209C-45C6-9D73-6FB0AA66ABAA}"/>
    <hyperlink ref="K97" r:id="rId30" location="discounting" xr:uid="{AD07A73F-AD58-4546-98B9-02A7C8D7C523}"/>
    <hyperlink ref="K98" r:id="rId31" location="discounting" xr:uid="{362DB97B-6538-44DA-A48A-773458EC8F0D}"/>
    <hyperlink ref="K100:K104" r:id="rId32" display="https://www.ncbi.nlm.nih.gov/books/NBK565353/" xr:uid="{475695C7-EFD1-4C52-A8C4-C626A2FE429D}"/>
    <hyperlink ref="K106:K110" r:id="rId33" display="https://www.ncbi.nlm.nih.gov/books/NBK565353/" xr:uid="{240F7018-02FC-4FCB-8D96-52AAD5E116BC}"/>
    <hyperlink ref="K86:K88" r:id="rId34" display="https://www.ncbi.nlm.nih.gov/books/NBK565353/" xr:uid="{32154B00-877D-4507-A3D1-1FBE60B2F949}"/>
    <hyperlink ref="K118:K121" r:id="rId35" display="https://www.ncbi.nlm.nih.gov/books/NBK565353/" xr:uid="{3FD44E28-6FDF-4C3A-B266-458709371F65}"/>
    <hyperlink ref="K4" r:id="rId36" display="https://doi.org/10.1161/jaha.124.034414" xr:uid="{F6365DC8-A048-4F3D-97BA-0EC4F07CBF40}"/>
    <hyperlink ref="K5" r:id="rId37" display="https://www.ncbi.nlm.nih.gov/books/NBK565353/" xr:uid="{8883F7C0-4A98-414B-AA19-EB69AB406B21}"/>
    <hyperlink ref="K64" r:id="rId38" location="discounting" xr:uid="{A9C1C102-0D66-48D2-9E50-20AC8A73F072}"/>
    <hyperlink ref="K65:K68" r:id="rId39" location="discounting" display="https://www.nice.org.uk/process/pmg36/chapter/economic-evaluation-2#discounting" xr:uid="{3323E273-495D-4F67-A3E6-CD4D71871723}"/>
    <hyperlink ref="K49:K54" r:id="rId40" display="https://hqlo.biomedcentral.com/articles/10.1186/s12955-018-1019-3" xr:uid="{7916D866-2E4D-439C-B605-070562F0090E}"/>
    <hyperlink ref="K123:K126" r:id="rId41" display="https://www.ncbi.nlm.nih.gov/books/NBK565353/" xr:uid="{40FEEDA4-B722-4AAF-859F-FD224CD70A82}"/>
    <hyperlink ref="K128:K132" r:id="rId42" display="https://www.ncbi.nlm.nih.gov/books/NBK565353/" xr:uid="{9748C98F-0EA8-4D01-AC6D-034DA43AF951}"/>
    <hyperlink ref="K33" r:id="rId43" display="https://doi.org/10.1161/jaha.124.034414" xr:uid="{24AE4660-B7C8-48FD-B677-9D75F314E4AB}"/>
    <hyperlink ref="K34" r:id="rId44" display="https://doi.org/10.1161/jaha.124.034414" xr:uid="{A9A88402-62BB-4738-993D-07B656C36AF4}"/>
    <hyperlink ref="K142" r:id="rId45" display="https://www.nice.org.uk/guidance/TA236" xr:uid="{BD96DECB-8F99-4CE0-AFCA-1EE66CAE1322}"/>
    <hyperlink ref="K10" r:id="rId46" display="https://doi.org/10.1038/s41397-024-00344-z" xr:uid="{3E9BFF55-D481-46D7-93D1-271CD9ECB17A}"/>
    <hyperlink ref="K11" r:id="rId47" display="https://doi.org/10.1038/s41397-024-00344-z" xr:uid="{D52D6470-8E96-4B54-B85F-1D9960B63AAB}"/>
  </hyperlinks>
  <pageMargins left="0.7" right="0.7" top="0.75" bottom="0.75" header="0.3" footer="0.3"/>
  <pageSetup paperSize="9" orientation="portrait" r:id="rId48"/>
  <ignoredErrors>
    <ignoredError sqref="F119:H119" formula="1"/>
  </ignoredErrors>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C0439A-DFC3-4665-BAC4-85C807B18135}">
  <sheetPr codeName="Sheet8"/>
  <dimension ref="C3:BS42"/>
  <sheetViews>
    <sheetView zoomScale="86" workbookViewId="0">
      <selection activeCell="E20" sqref="E20"/>
    </sheetView>
  </sheetViews>
  <sheetFormatPr baseColWidth="10" defaultColWidth="9.5" defaultRowHeight="15" x14ac:dyDescent="0.2"/>
  <cols>
    <col min="3" max="3" width="24.1640625" customWidth="1"/>
    <col min="4" max="4" width="10.5" bestFit="1" customWidth="1"/>
    <col min="5" max="5" width="11.1640625" customWidth="1"/>
    <col min="6" max="6" width="12.5" customWidth="1"/>
    <col min="11" max="11" width="5.5" customWidth="1"/>
    <col min="12" max="12" width="17.5" customWidth="1"/>
    <col min="13" max="13" width="9.83203125" customWidth="1"/>
    <col min="14" max="14" width="14.5" customWidth="1"/>
    <col min="15" max="15" width="11.1640625" customWidth="1"/>
    <col min="16" max="19" width="9.5" customWidth="1"/>
    <col min="20" max="20" width="7.5" customWidth="1"/>
    <col min="21" max="21" width="5.5" customWidth="1"/>
    <col min="22" max="22" width="16.83203125" customWidth="1"/>
    <col min="23" max="23" width="11.1640625" customWidth="1"/>
    <col min="24" max="24" width="7.83203125" customWidth="1"/>
    <col min="25" max="26" width="10.83203125" customWidth="1"/>
    <col min="27" max="27" width="12" customWidth="1"/>
    <col min="28" max="28" width="5.5" customWidth="1"/>
    <col min="29" max="29" width="16.83203125" customWidth="1"/>
    <col min="30" max="30" width="9.1640625" customWidth="1"/>
    <col min="31" max="31" width="14.5" customWidth="1"/>
    <col min="32" max="32" width="10.1640625" customWidth="1"/>
    <col min="33" max="33" width="8.5" customWidth="1"/>
    <col min="34" max="34" width="8.1640625" customWidth="1"/>
    <col min="35" max="35" width="7.83203125" customWidth="1"/>
    <col min="36" max="36" width="13.5" customWidth="1"/>
    <col min="37" max="37" width="10.5" customWidth="1"/>
    <col min="42" max="42" width="5.5" customWidth="1"/>
    <col min="43" max="43" width="41.5" customWidth="1"/>
    <col min="44" max="44" width="7.5" customWidth="1"/>
    <col min="45" max="45" width="13.1640625" customWidth="1"/>
    <col min="46" max="46" width="6.1640625" customWidth="1"/>
    <col min="47" max="47" width="5.83203125" customWidth="1"/>
    <col min="48" max="48" width="9.1640625" customWidth="1"/>
    <col min="50" max="50" width="20.1640625" customWidth="1"/>
    <col min="51" max="51" width="10.5" customWidth="1"/>
    <col min="53" max="53" width="9.5" bestFit="1" customWidth="1"/>
    <col min="55" max="55" width="13.83203125" customWidth="1"/>
    <col min="60" max="60" width="11.1640625" customWidth="1"/>
    <col min="64" max="64" width="18.83203125" customWidth="1"/>
    <col min="65" max="65" width="13.5" customWidth="1"/>
    <col min="1997" max="1997" width="2.5" customWidth="1"/>
    <col min="2000" max="2000" width="2.5" customWidth="1"/>
  </cols>
  <sheetData>
    <row r="3" spans="3:71" ht="23" x14ac:dyDescent="0.2">
      <c r="K3" s="50"/>
      <c r="AG3" s="572"/>
      <c r="AH3" s="572"/>
      <c r="AI3" s="572"/>
      <c r="AJ3" s="572"/>
    </row>
    <row r="4" spans="3:71" x14ac:dyDescent="0.2">
      <c r="C4" s="183" t="s">
        <v>616</v>
      </c>
      <c r="D4" s="122"/>
      <c r="E4" s="122"/>
      <c r="F4" s="122"/>
      <c r="G4" s="122"/>
      <c r="H4" s="122"/>
      <c r="I4" s="122"/>
      <c r="J4" s="123"/>
      <c r="L4" s="189" t="s">
        <v>623</v>
      </c>
      <c r="M4" s="190"/>
      <c r="N4" s="190"/>
      <c r="O4" s="190"/>
      <c r="P4" s="190"/>
      <c r="Q4" s="190"/>
      <c r="R4" s="190"/>
      <c r="S4" s="190"/>
      <c r="T4" s="191"/>
      <c r="V4" s="189" t="s">
        <v>632</v>
      </c>
      <c r="W4" s="190"/>
      <c r="X4" s="190"/>
      <c r="Y4" s="190"/>
      <c r="Z4" s="190"/>
      <c r="AA4" s="191"/>
      <c r="AB4" s="193"/>
      <c r="AC4" s="189" t="s">
        <v>633</v>
      </c>
      <c r="AD4" s="122"/>
      <c r="AE4" s="122"/>
      <c r="AF4" s="122"/>
      <c r="AG4" s="122"/>
      <c r="AH4" s="122"/>
      <c r="AI4" s="122"/>
      <c r="AJ4" s="122"/>
      <c r="AK4" s="122"/>
      <c r="AL4" s="122"/>
      <c r="AM4" s="122"/>
      <c r="AN4" s="122"/>
      <c r="AO4" s="123"/>
      <c r="AT4" s="218"/>
      <c r="AX4" s="189" t="s">
        <v>655</v>
      </c>
      <c r="AY4" s="122"/>
      <c r="AZ4" s="213"/>
      <c r="BA4" s="213"/>
      <c r="BB4" s="213"/>
      <c r="BC4" s="122"/>
      <c r="BD4" s="122"/>
      <c r="BE4" s="122"/>
      <c r="BF4" s="122"/>
      <c r="BG4" s="123"/>
      <c r="BL4" s="288" t="s">
        <v>1053</v>
      </c>
      <c r="BM4" s="122"/>
      <c r="BN4" s="122"/>
      <c r="BO4" s="122"/>
      <c r="BP4" s="122"/>
      <c r="BQ4" s="122"/>
      <c r="BR4" s="122"/>
      <c r="BS4" s="123"/>
    </row>
    <row r="5" spans="3:71" ht="32.25" customHeight="1" x14ac:dyDescent="0.2">
      <c r="C5" s="131" t="s">
        <v>614</v>
      </c>
      <c r="D5" s="174" t="s">
        <v>341</v>
      </c>
      <c r="E5" s="174" t="s">
        <v>343</v>
      </c>
      <c r="F5" s="174" t="s">
        <v>342</v>
      </c>
      <c r="G5" s="174" t="s">
        <v>615</v>
      </c>
      <c r="H5" s="174" t="s">
        <v>341</v>
      </c>
      <c r="I5" s="174" t="s">
        <v>343</v>
      </c>
      <c r="J5" s="141" t="s">
        <v>342</v>
      </c>
      <c r="L5" s="192"/>
      <c r="M5" s="146" t="s">
        <v>335</v>
      </c>
      <c r="N5" s="146" t="s">
        <v>336</v>
      </c>
      <c r="O5" s="146" t="s">
        <v>332</v>
      </c>
      <c r="P5" s="146" t="s">
        <v>333</v>
      </c>
      <c r="Q5" s="146" t="s">
        <v>334</v>
      </c>
      <c r="R5" s="146" t="s">
        <v>625</v>
      </c>
      <c r="S5" s="146" t="s">
        <v>333</v>
      </c>
      <c r="T5" s="148" t="s">
        <v>334</v>
      </c>
      <c r="V5" s="177"/>
      <c r="W5" s="187" t="s">
        <v>348</v>
      </c>
      <c r="X5" s="187" t="s">
        <v>349</v>
      </c>
      <c r="Y5" s="105" t="s">
        <v>626</v>
      </c>
      <c r="Z5" s="105" t="s">
        <v>627</v>
      </c>
      <c r="AA5" s="209" t="s">
        <v>383</v>
      </c>
      <c r="AB5" s="146"/>
      <c r="AC5" s="217" t="s">
        <v>354</v>
      </c>
      <c r="AD5" s="187" t="s">
        <v>634</v>
      </c>
      <c r="AE5" s="187" t="s">
        <v>635</v>
      </c>
      <c r="AF5" s="187" t="s">
        <v>636</v>
      </c>
      <c r="AG5" s="187" t="s">
        <v>638</v>
      </c>
      <c r="AH5" s="187" t="s">
        <v>639</v>
      </c>
      <c r="AI5" s="187" t="s">
        <v>640</v>
      </c>
      <c r="AJ5" s="187" t="s">
        <v>641</v>
      </c>
      <c r="AK5" s="187" t="s">
        <v>637</v>
      </c>
      <c r="AL5" s="187" t="s">
        <v>638</v>
      </c>
      <c r="AM5" s="187" t="s">
        <v>639</v>
      </c>
      <c r="AN5" s="187" t="s">
        <v>645</v>
      </c>
      <c r="AO5" s="188" t="s">
        <v>646</v>
      </c>
      <c r="AQ5" s="225" t="s">
        <v>414</v>
      </c>
      <c r="AR5" s="122"/>
      <c r="AS5" s="122"/>
      <c r="AT5" s="122"/>
      <c r="AU5" s="122"/>
      <c r="AV5" s="123"/>
      <c r="AX5" s="227" t="s">
        <v>450</v>
      </c>
      <c r="AY5" s="105" t="s">
        <v>634</v>
      </c>
      <c r="AZ5" s="168" t="s">
        <v>656</v>
      </c>
      <c r="BA5" s="105" t="s">
        <v>355</v>
      </c>
      <c r="BB5" s="105" t="s">
        <v>356</v>
      </c>
      <c r="BC5" s="105" t="s">
        <v>1013</v>
      </c>
      <c r="BD5" s="105" t="s">
        <v>335</v>
      </c>
      <c r="BE5" s="105" t="s">
        <v>377</v>
      </c>
      <c r="BF5" s="105" t="s">
        <v>355</v>
      </c>
      <c r="BG5" s="209" t="s">
        <v>356</v>
      </c>
      <c r="BH5" s="105"/>
      <c r="BL5" s="177" t="s">
        <v>1039</v>
      </c>
      <c r="BN5" s="288" t="s">
        <v>642</v>
      </c>
      <c r="BP5" s="3"/>
      <c r="BQ5" s="3"/>
      <c r="BS5" s="125"/>
    </row>
    <row r="6" spans="3:71" ht="17.25" customHeight="1" x14ac:dyDescent="0.2">
      <c r="C6" s="175" t="s">
        <v>463</v>
      </c>
      <c r="D6" s="3"/>
      <c r="E6" s="3"/>
      <c r="F6" s="3"/>
      <c r="G6" s="3"/>
      <c r="H6" s="3"/>
      <c r="I6" s="3"/>
      <c r="J6" s="176"/>
      <c r="L6" s="147" t="s">
        <v>463</v>
      </c>
      <c r="M6" s="193"/>
      <c r="N6" s="193"/>
      <c r="O6" s="193"/>
      <c r="P6" s="193"/>
      <c r="Q6" s="193"/>
      <c r="R6" s="193"/>
      <c r="S6" s="193"/>
      <c r="T6" s="194"/>
      <c r="V6" s="124" t="s">
        <v>463</v>
      </c>
      <c r="Y6" s="208"/>
      <c r="AB6" s="193"/>
      <c r="AC6" s="192" t="s">
        <v>813</v>
      </c>
      <c r="AD6" s="200">
        <f>prob_dead_ac</f>
        <v>9.7253633201505679E-2</v>
      </c>
      <c r="AE6" s="200">
        <f>AD6/(1-AD6)</f>
        <v>0.10773084974731785</v>
      </c>
      <c r="AF6" s="196">
        <v>0.77</v>
      </c>
      <c r="AG6" s="196">
        <v>0.68</v>
      </c>
      <c r="AH6" s="196">
        <v>0.88</v>
      </c>
      <c r="AI6" s="200">
        <f>EXP((LN(AE6)+LN(AF6)))/(1+EXP(LN(AE6)+LN(AF6)))</f>
        <v>7.6598682607015037E-2</v>
      </c>
      <c r="AJ6" s="200">
        <f>(LN(AH6)-LN(AG6))/(2*1.96)</f>
        <v>6.5772731964821363E-2</v>
      </c>
      <c r="AK6" s="196">
        <v>1</v>
      </c>
      <c r="AL6" s="196">
        <v>0.83</v>
      </c>
      <c r="AM6" s="196">
        <v>1.21</v>
      </c>
      <c r="AN6" s="200">
        <f>(EXP(LN(AE6)+LN(AK6)))/(1+EXP(LN(AE6)+LN(AK6)))</f>
        <v>9.7253633201505651E-2</v>
      </c>
      <c r="AO6" s="206">
        <f>(LN(AM6)-LN(AL6))/(2*1.96)</f>
        <v>9.616069841840387E-2</v>
      </c>
      <c r="AQ6" s="124" t="s">
        <v>410</v>
      </c>
      <c r="AR6" s="222">
        <v>0.28699999999999998</v>
      </c>
      <c r="AS6" t="s">
        <v>647</v>
      </c>
      <c r="AV6" s="125"/>
      <c r="AX6" s="124" t="s">
        <v>451</v>
      </c>
      <c r="AY6" s="165">
        <v>9.7000000000000003E-2</v>
      </c>
      <c r="AZ6">
        <v>1.88</v>
      </c>
      <c r="BA6" s="165">
        <v>1.18</v>
      </c>
      <c r="BB6" s="165">
        <v>3.01</v>
      </c>
      <c r="BC6" s="165">
        <f>AY6/AZ6</f>
        <v>5.1595744680851069E-2</v>
      </c>
      <c r="BD6" s="165">
        <v>2561</v>
      </c>
      <c r="BE6" s="226">
        <f>SQRT((BC6 * (1 - BC6)) / BD6)</f>
        <v>4.3711821099711263E-3</v>
      </c>
      <c r="BF6" s="165">
        <f>BC6-(1.96*BE6)</f>
        <v>4.3028227745307665E-2</v>
      </c>
      <c r="BG6" s="184">
        <f>BC6+(1.96*BF6)</f>
        <v>0.13593107106165409</v>
      </c>
      <c r="BL6" s="124" t="s">
        <v>1040</v>
      </c>
      <c r="BM6" s="3">
        <v>49</v>
      </c>
      <c r="BN6" s="187" t="s">
        <v>354</v>
      </c>
      <c r="BO6" t="s">
        <v>796</v>
      </c>
      <c r="BP6" t="s">
        <v>461</v>
      </c>
      <c r="BQ6" t="s">
        <v>377</v>
      </c>
      <c r="BR6" t="s">
        <v>378</v>
      </c>
      <c r="BS6" s="125" t="s">
        <v>462</v>
      </c>
    </row>
    <row r="7" spans="3:71" x14ac:dyDescent="0.2">
      <c r="C7" s="177">
        <v>2014</v>
      </c>
      <c r="D7" s="3">
        <v>6673</v>
      </c>
      <c r="E7" s="3">
        <v>8455</v>
      </c>
      <c r="F7" s="3">
        <v>2953</v>
      </c>
      <c r="G7" s="3">
        <v>18081</v>
      </c>
      <c r="H7" s="145">
        <f>D7/G7</f>
        <v>0.36906144571649796</v>
      </c>
      <c r="I7" s="145">
        <f>E7/G7</f>
        <v>0.46761794148553731</v>
      </c>
      <c r="J7" s="153">
        <f>F7/G7</f>
        <v>0.16332061279796473</v>
      </c>
      <c r="L7" s="195" t="s">
        <v>329</v>
      </c>
      <c r="M7" s="196">
        <v>31066</v>
      </c>
      <c r="N7" s="197">
        <f>M7/M9</f>
        <v>0.7401248391861629</v>
      </c>
      <c r="O7" s="196">
        <v>0.91600000000000004</v>
      </c>
      <c r="P7" s="196">
        <v>0.91300000000000003</v>
      </c>
      <c r="Q7" s="196">
        <v>0.91900000000000004</v>
      </c>
      <c r="R7" s="196">
        <f>1-O7</f>
        <v>8.3999999999999964E-2</v>
      </c>
      <c r="S7" s="196">
        <f>1-Q7</f>
        <v>8.0999999999999961E-2</v>
      </c>
      <c r="T7" s="198">
        <f>1-P7</f>
        <v>8.6999999999999966E-2</v>
      </c>
      <c r="V7" s="124"/>
      <c r="W7" s="196">
        <v>6.5500000000000003E-2</v>
      </c>
      <c r="X7" s="196">
        <v>1.2500000000000001E-2</v>
      </c>
      <c r="Y7" s="196">
        <v>3.4599999999999999E-2</v>
      </c>
      <c r="Z7" s="196">
        <v>2.6100000000000002E-2</v>
      </c>
      <c r="AA7" s="194" t="s">
        <v>631</v>
      </c>
      <c r="AB7" s="193"/>
      <c r="AC7" s="192" t="s">
        <v>348</v>
      </c>
      <c r="AD7" s="200">
        <f>prob_mi_ac</f>
        <v>6.5500000000000003E-2</v>
      </c>
      <c r="AE7" s="200">
        <f>AD7/(1-AD7)</f>
        <v>7.0090957731407166E-2</v>
      </c>
      <c r="AF7" s="196">
        <v>0.82</v>
      </c>
      <c r="AG7" s="196">
        <v>0.73</v>
      </c>
      <c r="AH7" s="196">
        <v>0.92</v>
      </c>
      <c r="AI7" s="200">
        <f>EXP((LN(AE7)+LN(AF7)))/(1+EXP(LN(AE7)+LN(AF7)))</f>
        <v>5.4350795883466051E-2</v>
      </c>
      <c r="AJ7" s="200">
        <f>(LN(AH7)-LN(AG7))/(2*1.96)</f>
        <v>5.901253466853297E-2</v>
      </c>
      <c r="AK7" s="196">
        <v>0.75</v>
      </c>
      <c r="AL7" s="196">
        <v>0.66</v>
      </c>
      <c r="AM7" s="196">
        <v>0.84</v>
      </c>
      <c r="AN7" s="200">
        <f>(EXP(LN(AE7)+LN(AK7)))/(1+EXP(LN(AE7)+LN(AK7)))</f>
        <v>4.9942813572245517E-2</v>
      </c>
      <c r="AO7" s="206">
        <f>(LN(AM7)-LN(AL7))/(2*1.96)</f>
        <v>6.1520932861451015E-2</v>
      </c>
      <c r="AQ7" s="124" t="s">
        <v>415</v>
      </c>
      <c r="AR7" s="222">
        <v>0.58799999999999997</v>
      </c>
      <c r="AS7" t="s">
        <v>411</v>
      </c>
      <c r="AV7" s="125"/>
      <c r="AX7" s="124" t="s">
        <v>348</v>
      </c>
      <c r="AY7" s="165">
        <v>6.553398058252427E-2</v>
      </c>
      <c r="AZ7">
        <v>1.67</v>
      </c>
      <c r="BA7" s="165">
        <v>1.21</v>
      </c>
      <c r="BB7" s="165">
        <v>2.31</v>
      </c>
      <c r="BC7" s="165">
        <f>AY7/AZ7</f>
        <v>3.9241904540433699E-2</v>
      </c>
      <c r="BD7" s="165">
        <v>2696</v>
      </c>
      <c r="BE7" s="226">
        <f>SQRT((BC7 * (1 - BC7)) / BD7)</f>
        <v>3.7395739072244466E-3</v>
      </c>
      <c r="BF7" s="165">
        <f>BC7-(1.96*BE7)</f>
        <v>3.1912339682273784E-2</v>
      </c>
      <c r="BG7" s="184">
        <f>BC7+(1.96*BF7)</f>
        <v>0.10179009031769032</v>
      </c>
      <c r="BL7" s="124" t="s">
        <v>1041</v>
      </c>
      <c r="BM7" s="3">
        <v>53</v>
      </c>
      <c r="BN7" s="193" t="s">
        <v>1042</v>
      </c>
      <c r="BO7" s="165">
        <v>7.8E-2</v>
      </c>
      <c r="BP7" s="3">
        <v>4387</v>
      </c>
      <c r="BQ7" s="165">
        <f>(BS7-BR7)/1.96</f>
        <v>0.15816326530612237</v>
      </c>
      <c r="BR7" s="165">
        <v>1.62</v>
      </c>
      <c r="BS7" s="184">
        <v>1.93</v>
      </c>
    </row>
    <row r="8" spans="3:71" x14ac:dyDescent="0.2">
      <c r="C8" s="177">
        <v>2015</v>
      </c>
      <c r="D8" s="3">
        <v>6226</v>
      </c>
      <c r="E8" s="3">
        <v>9632</v>
      </c>
      <c r="F8" s="3">
        <v>2378</v>
      </c>
      <c r="G8" s="3">
        <v>18236</v>
      </c>
      <c r="H8" s="145">
        <f t="shared" ref="H8:H15" si="0">D8/G8</f>
        <v>0.34141259048036848</v>
      </c>
      <c r="I8" s="145">
        <f t="shared" ref="I8:I15" si="1">E8/G8</f>
        <v>0.528186005703005</v>
      </c>
      <c r="J8" s="153">
        <f t="shared" ref="J8:J15" si="2">F8/G8</f>
        <v>0.13040140381662646</v>
      </c>
      <c r="L8" s="195" t="s">
        <v>330</v>
      </c>
      <c r="M8" s="196">
        <v>10908</v>
      </c>
      <c r="N8" s="197">
        <f>M8/M9</f>
        <v>0.25987516081383716</v>
      </c>
      <c r="O8" s="196">
        <v>0.86499999999999999</v>
      </c>
      <c r="P8" s="196">
        <v>0.85799999999999998</v>
      </c>
      <c r="Q8" s="196">
        <v>0.871</v>
      </c>
      <c r="R8" s="196">
        <f>1-O8</f>
        <v>0.13500000000000001</v>
      </c>
      <c r="S8" s="196">
        <f>1-Q8</f>
        <v>0.129</v>
      </c>
      <c r="T8" s="198">
        <f>1-P8</f>
        <v>0.14200000000000002</v>
      </c>
      <c r="V8" s="124"/>
      <c r="W8" s="196">
        <v>2.5999999999999999E-2</v>
      </c>
      <c r="X8" s="196">
        <v>2E-3</v>
      </c>
      <c r="Y8" s="196">
        <v>2.1999999999999999E-2</v>
      </c>
      <c r="Z8" s="196">
        <v>6.0999999999999999E-2</v>
      </c>
      <c r="AA8" s="194" t="s">
        <v>346</v>
      </c>
      <c r="AB8" s="193"/>
      <c r="AC8" s="192" t="s">
        <v>582</v>
      </c>
      <c r="AD8" s="200">
        <f>prob_stk_ac</f>
        <v>1.24E-2</v>
      </c>
      <c r="AE8" s="200">
        <f>AD8/(1-AD8)</f>
        <v>1.2555690562980963E-2</v>
      </c>
      <c r="AF8" s="196">
        <v>1.1299999999999999</v>
      </c>
      <c r="AG8" s="196">
        <v>0.89</v>
      </c>
      <c r="AH8" s="196">
        <v>1.44</v>
      </c>
      <c r="AI8" s="200">
        <f>EXP((LN(AE8)+LN(AF8)))/(1+EXP(LN(AE8)+LN(AF8)))</f>
        <v>1.3989449008198778E-2</v>
      </c>
      <c r="AJ8" s="200">
        <f>(LN(AH8)-LN(AG8))/(2*1.96)</f>
        <v>0.12274921679690325</v>
      </c>
      <c r="AK8" s="196">
        <v>0.93</v>
      </c>
      <c r="AL8" s="196">
        <v>0.67</v>
      </c>
      <c r="AM8" s="196">
        <v>1.3</v>
      </c>
      <c r="AN8" s="200">
        <f>(EXP(LN(AE8)+LN(AK8)))/(1+EXP(LN(AE8)+LN(AK8)))</f>
        <v>1.1542018472033721E-2</v>
      </c>
      <c r="AO8" s="206">
        <f>(LN(AM8)-LN(AL8))/(2*1.96)</f>
        <v>0.16909230384301435</v>
      </c>
      <c r="AQ8" s="124" t="s">
        <v>412</v>
      </c>
      <c r="AR8" s="222">
        <v>0.31900000000000001</v>
      </c>
      <c r="AS8" t="s">
        <v>648</v>
      </c>
      <c r="AV8" s="125"/>
      <c r="AX8" s="124" t="s">
        <v>349</v>
      </c>
      <c r="AY8" s="165">
        <v>1.2500000000000001E-2</v>
      </c>
      <c r="AZ8">
        <v>1</v>
      </c>
      <c r="BA8" s="165">
        <v>0.79</v>
      </c>
      <c r="BB8" s="165">
        <v>2.3199999999999998</v>
      </c>
      <c r="BC8" s="165">
        <f t="shared" ref="BC8" si="3">AY8/AZ8</f>
        <v>1.2500000000000001E-2</v>
      </c>
      <c r="BD8" s="165">
        <v>2696</v>
      </c>
      <c r="BE8" s="226">
        <f>SQRT((BC8 * (1 - BC8)) / BD8)</f>
        <v>2.1397528560248421E-3</v>
      </c>
      <c r="BF8" s="165">
        <f>BC8-(1.96*BE8)</f>
        <v>8.3060844021913098E-3</v>
      </c>
      <c r="BG8" s="184">
        <f>BC8+(1.96*BF8)</f>
        <v>2.8779925428294967E-2</v>
      </c>
      <c r="BH8" t="s">
        <v>988</v>
      </c>
      <c r="BL8" s="124" t="s">
        <v>1054</v>
      </c>
      <c r="BM8" s="145">
        <v>7.85E-2</v>
      </c>
      <c r="BN8" s="193"/>
      <c r="BO8" s="165"/>
      <c r="BP8" s="3"/>
      <c r="BQ8" s="165"/>
      <c r="BR8" s="165"/>
      <c r="BS8" s="184"/>
    </row>
    <row r="9" spans="3:71" x14ac:dyDescent="0.2">
      <c r="C9" s="177">
        <v>2016</v>
      </c>
      <c r="D9" s="3">
        <v>5475</v>
      </c>
      <c r="E9" s="3">
        <v>9646</v>
      </c>
      <c r="F9" s="3">
        <v>2161</v>
      </c>
      <c r="G9" s="3">
        <v>17282</v>
      </c>
      <c r="H9" s="145">
        <f t="shared" si="0"/>
        <v>0.31680361069320678</v>
      </c>
      <c r="I9" s="145">
        <f t="shared" si="1"/>
        <v>0.55815299155190368</v>
      </c>
      <c r="J9" s="153">
        <f t="shared" si="2"/>
        <v>0.12504339775488948</v>
      </c>
      <c r="L9" s="195" t="s">
        <v>331</v>
      </c>
      <c r="M9" s="196">
        <f>M7+M8</f>
        <v>41974</v>
      </c>
      <c r="N9" s="196">
        <f>SUM(N7:N8)</f>
        <v>1</v>
      </c>
      <c r="O9" s="199">
        <f t="shared" ref="O9:T9" si="4">(O7*$N$7)+(O8*$N$8)</f>
        <v>0.90274636679849429</v>
      </c>
      <c r="P9" s="199">
        <f t="shared" si="4"/>
        <v>0.89870686615523909</v>
      </c>
      <c r="Q9" s="199">
        <f t="shared" si="4"/>
        <v>0.90652599228093589</v>
      </c>
      <c r="R9" s="200">
        <f>(R7*$N$7)+(R8*$N$8)</f>
        <v>9.7253633201505679E-2</v>
      </c>
      <c r="S9" s="199">
        <f t="shared" si="4"/>
        <v>9.3474007719064167E-2</v>
      </c>
      <c r="T9" s="201">
        <f t="shared" si="4"/>
        <v>0.10129313384476103</v>
      </c>
      <c r="V9" s="124"/>
      <c r="W9" s="196">
        <v>3.2000000000000001E-2</v>
      </c>
      <c r="X9" s="196">
        <v>0.02</v>
      </c>
      <c r="Y9" s="196">
        <v>5.7000000000000002E-2</v>
      </c>
      <c r="Z9" s="196" t="s">
        <v>347</v>
      </c>
      <c r="AA9" s="194" t="s">
        <v>353</v>
      </c>
      <c r="AC9" s="192" t="s">
        <v>814</v>
      </c>
      <c r="AD9" s="200">
        <f>prob_maj_bleed_ac</f>
        <v>2.1999999999999999E-2</v>
      </c>
      <c r="AE9" s="200">
        <f>AD9/(1-AD9)</f>
        <v>2.2494887525562373E-2</v>
      </c>
      <c r="AF9" s="196">
        <v>1.04</v>
      </c>
      <c r="AG9" s="196">
        <v>0.95</v>
      </c>
      <c r="AH9" s="196">
        <v>1.1399999999999999</v>
      </c>
      <c r="AI9" s="200">
        <f>EXP((LN(AE9)+LN(AF9)))/(1+EXP(LN(AE9)+LN(AF9)))</f>
        <v>2.2859883302693625E-2</v>
      </c>
      <c r="AJ9" s="200">
        <f>(LN(AH9)-LN(AG9))/(2*1.96)</f>
        <v>4.6510601222947597E-2</v>
      </c>
      <c r="AK9" s="196">
        <v>1.43</v>
      </c>
      <c r="AL9" s="196">
        <v>1.1399999999999999</v>
      </c>
      <c r="AM9" s="196">
        <v>1.79</v>
      </c>
      <c r="AN9" s="200">
        <f>(EXP(LN(AE9)+LN(AK9)))/(1+EXP(LN(AE9)+LN(AK9)))</f>
        <v>3.1165177421591746E-2</v>
      </c>
      <c r="AO9" s="206">
        <f>(LN(AM9)-LN(AL9))/(2*1.96)</f>
        <v>0.11509881567506626</v>
      </c>
      <c r="AQ9" s="124" t="s">
        <v>416</v>
      </c>
      <c r="AR9" s="222">
        <v>0.56999999999999995</v>
      </c>
      <c r="AS9" t="s">
        <v>649</v>
      </c>
      <c r="AV9" s="125"/>
      <c r="AX9" s="124"/>
      <c r="BG9" s="125"/>
      <c r="BL9" s="124" t="s">
        <v>1055</v>
      </c>
      <c r="BM9" s="3"/>
      <c r="BN9" s="193"/>
      <c r="BO9" s="165"/>
      <c r="BP9" s="3"/>
      <c r="BR9" s="165"/>
      <c r="BS9" s="184"/>
    </row>
    <row r="10" spans="3:71" x14ac:dyDescent="0.2">
      <c r="C10" s="177">
        <v>2017</v>
      </c>
      <c r="D10" s="3">
        <v>4797</v>
      </c>
      <c r="E10" s="3">
        <v>11303</v>
      </c>
      <c r="F10" s="3">
        <v>1610</v>
      </c>
      <c r="G10" s="3">
        <v>17710</v>
      </c>
      <c r="H10" s="145">
        <f t="shared" si="0"/>
        <v>0.27086391869000565</v>
      </c>
      <c r="I10" s="145">
        <f t="shared" si="1"/>
        <v>0.63822699040090347</v>
      </c>
      <c r="J10" s="153">
        <f t="shared" si="2"/>
        <v>9.0909090909090912E-2</v>
      </c>
      <c r="L10" s="202" t="s">
        <v>383</v>
      </c>
      <c r="M10" s="579" t="s">
        <v>624</v>
      </c>
      <c r="N10" s="579"/>
      <c r="O10" s="579"/>
      <c r="P10" s="579"/>
      <c r="Q10" s="204"/>
      <c r="R10" s="204"/>
      <c r="S10" s="204"/>
      <c r="T10" s="205"/>
      <c r="V10" s="177" t="s">
        <v>383</v>
      </c>
      <c r="W10" s="3" t="s">
        <v>630</v>
      </c>
      <c r="X10" s="3"/>
      <c r="Y10" s="3"/>
      <c r="Z10" s="3"/>
      <c r="AA10" s="176"/>
      <c r="AC10" s="202" t="s">
        <v>815</v>
      </c>
      <c r="AD10" s="215">
        <f>prob_min_bleed_ac</f>
        <v>6.0999999999999999E-2</v>
      </c>
      <c r="AE10" s="215">
        <f>AD10/(1-AD10)</f>
        <v>6.4962726304579332E-2</v>
      </c>
      <c r="AF10" s="203">
        <v>1.37</v>
      </c>
      <c r="AG10" s="203">
        <v>1.19</v>
      </c>
      <c r="AH10" s="203">
        <v>1.57</v>
      </c>
      <c r="AI10" s="215">
        <f>EXP((LN(AE10)+LN(AF10)))/(1+EXP(LN(AE10)+LN(AF10)))</f>
        <v>8.1725456447969344E-2</v>
      </c>
      <c r="AJ10" s="215">
        <f>(LN(AH10)-LN(AG10))/(2*1.96)</f>
        <v>7.0694467407341519E-2</v>
      </c>
      <c r="AK10" s="203">
        <v>2.0699999999999998</v>
      </c>
      <c r="AL10" s="203">
        <v>0.88</v>
      </c>
      <c r="AM10" s="203">
        <v>4.87</v>
      </c>
      <c r="AN10" s="215">
        <f>(EXP(LN(AE10)+LN(AK10)))/(1+EXP(LN(AE10)+LN(AK10)))</f>
        <v>0.11853332957841677</v>
      </c>
      <c r="AO10" s="207">
        <f>(LN(AM10)-LN(AL10))/(2*1.96)</f>
        <v>0.43646104811336311</v>
      </c>
      <c r="AQ10" s="124"/>
      <c r="AV10" s="125"/>
      <c r="AX10" s="130" t="s">
        <v>383</v>
      </c>
      <c r="AY10" s="128"/>
      <c r="AZ10" s="128"/>
      <c r="BA10" s="128"/>
      <c r="BB10" s="128"/>
      <c r="BC10" s="128"/>
      <c r="BD10" s="128"/>
      <c r="BE10" s="128"/>
      <c r="BF10" s="128"/>
      <c r="BG10" s="129"/>
      <c r="BL10" s="124" t="s">
        <v>1056</v>
      </c>
      <c r="BM10" s="3"/>
      <c r="BN10" s="193"/>
      <c r="BO10" s="165"/>
      <c r="BP10" s="3"/>
      <c r="BQ10" s="165"/>
      <c r="BR10" s="165"/>
      <c r="BS10" s="184"/>
    </row>
    <row r="11" spans="3:71" ht="16.5" customHeight="1" x14ac:dyDescent="0.2">
      <c r="C11" s="177">
        <v>2018</v>
      </c>
      <c r="D11" s="3">
        <v>4485</v>
      </c>
      <c r="E11" s="3">
        <v>10606</v>
      </c>
      <c r="F11" s="3">
        <v>1407</v>
      </c>
      <c r="G11" s="3">
        <v>16498</v>
      </c>
      <c r="H11" s="145">
        <f t="shared" si="0"/>
        <v>0.2718511334707237</v>
      </c>
      <c r="I11" s="145">
        <f t="shared" si="1"/>
        <v>0.64286580191538367</v>
      </c>
      <c r="J11" s="153">
        <f t="shared" si="2"/>
        <v>8.5283064613892595E-2</v>
      </c>
      <c r="M11" s="140"/>
      <c r="V11" s="192" t="s">
        <v>352</v>
      </c>
      <c r="W11" t="s">
        <v>624</v>
      </c>
      <c r="AA11" s="125"/>
      <c r="AQ11" s="124"/>
      <c r="AR11" s="580"/>
      <c r="AS11" s="580"/>
      <c r="AV11" s="125"/>
      <c r="BL11" s="124" t="s">
        <v>1043</v>
      </c>
      <c r="BM11" s="173">
        <v>0.8</v>
      </c>
      <c r="BN11" s="193"/>
      <c r="BO11" s="165"/>
      <c r="BP11" s="3"/>
      <c r="BQ11" s="165"/>
      <c r="BR11" s="165"/>
      <c r="BS11" s="184"/>
    </row>
    <row r="12" spans="3:71" x14ac:dyDescent="0.2">
      <c r="C12" s="177">
        <v>2019</v>
      </c>
      <c r="D12" s="3">
        <v>4342</v>
      </c>
      <c r="E12" s="3">
        <v>10932</v>
      </c>
      <c r="F12" s="3">
        <v>1382</v>
      </c>
      <c r="G12" s="3">
        <v>16656</v>
      </c>
      <c r="H12" s="145">
        <f t="shared" si="0"/>
        <v>0.26068683957732947</v>
      </c>
      <c r="I12" s="145">
        <f t="shared" si="1"/>
        <v>0.65634005763688763</v>
      </c>
      <c r="J12" s="153">
        <f t="shared" si="2"/>
        <v>8.2973102785782904E-2</v>
      </c>
      <c r="V12" s="192" t="s">
        <v>346</v>
      </c>
      <c r="W12" t="s">
        <v>629</v>
      </c>
      <c r="AA12" s="125"/>
      <c r="AJ12" s="121"/>
      <c r="AQ12" s="135" t="s">
        <v>417</v>
      </c>
      <c r="AR12" s="75" t="s">
        <v>418</v>
      </c>
      <c r="AS12" s="75" t="s">
        <v>419</v>
      </c>
      <c r="AT12" s="75" t="s">
        <v>420</v>
      </c>
      <c r="AU12" s="75" t="s">
        <v>421</v>
      </c>
      <c r="AV12" s="152" t="s">
        <v>466</v>
      </c>
      <c r="BL12" s="124" t="s">
        <v>1044</v>
      </c>
      <c r="BM12" s="173">
        <v>0.3</v>
      </c>
      <c r="BS12" s="125"/>
    </row>
    <row r="13" spans="3:71" x14ac:dyDescent="0.2">
      <c r="C13" s="177">
        <v>2020</v>
      </c>
      <c r="D13" s="3">
        <v>3716</v>
      </c>
      <c r="E13" s="3">
        <v>9320</v>
      </c>
      <c r="F13" s="3">
        <v>2355</v>
      </c>
      <c r="G13" s="3">
        <v>15391</v>
      </c>
      <c r="H13" s="145">
        <f t="shared" si="0"/>
        <v>0.24143980248196997</v>
      </c>
      <c r="I13" s="145">
        <f t="shared" si="1"/>
        <v>0.60554869729062444</v>
      </c>
      <c r="J13" s="153">
        <f t="shared" si="2"/>
        <v>0.15301150022740562</v>
      </c>
      <c r="V13" s="202" t="s">
        <v>353</v>
      </c>
      <c r="W13" s="128" t="s">
        <v>628</v>
      </c>
      <c r="X13" s="210"/>
      <c r="Y13" s="210"/>
      <c r="Z13" s="128"/>
      <c r="AA13" s="129"/>
      <c r="AC13" s="189" t="s">
        <v>642</v>
      </c>
      <c r="AD13" s="122"/>
      <c r="AE13" s="213"/>
      <c r="AF13" s="213"/>
      <c r="AG13" s="122"/>
      <c r="AH13" s="123"/>
      <c r="AJ13" s="121"/>
      <c r="AK13" s="196"/>
      <c r="AL13" s="121"/>
      <c r="AM13" s="196"/>
      <c r="AN13" s="196"/>
      <c r="AQ13" s="223" t="s">
        <v>422</v>
      </c>
      <c r="AR13" s="75"/>
      <c r="AS13" s="75"/>
      <c r="AT13" s="75"/>
      <c r="AU13" s="75"/>
      <c r="AV13" s="152"/>
      <c r="BL13" s="124" t="s">
        <v>1045</v>
      </c>
      <c r="BM13" s="289">
        <f>BM7/3</f>
        <v>17.666666666666668</v>
      </c>
      <c r="BS13" s="125"/>
    </row>
    <row r="14" spans="3:71" x14ac:dyDescent="0.2">
      <c r="C14" s="177">
        <v>2021</v>
      </c>
      <c r="D14" s="3">
        <v>3568</v>
      </c>
      <c r="E14" s="3">
        <v>8974</v>
      </c>
      <c r="F14" s="3">
        <v>3723</v>
      </c>
      <c r="G14" s="3">
        <v>16265</v>
      </c>
      <c r="H14" s="145">
        <f t="shared" si="0"/>
        <v>0.21936673839532739</v>
      </c>
      <c r="I14" s="145">
        <f t="shared" si="1"/>
        <v>0.55173685828466035</v>
      </c>
      <c r="J14" s="153">
        <f t="shared" si="2"/>
        <v>0.22889640332001229</v>
      </c>
      <c r="L14" s="189" t="s">
        <v>644</v>
      </c>
      <c r="M14" s="213"/>
      <c r="N14" s="213"/>
      <c r="O14" s="213"/>
      <c r="P14" s="213"/>
      <c r="Q14" s="214"/>
      <c r="R14" s="3"/>
      <c r="T14" s="3"/>
      <c r="U14" s="3"/>
      <c r="V14" s="3"/>
      <c r="W14" s="3"/>
      <c r="X14" s="3"/>
      <c r="Y14" s="196"/>
      <c r="AC14" s="217" t="s">
        <v>354</v>
      </c>
      <c r="AD14" t="s">
        <v>796</v>
      </c>
      <c r="AE14" t="s">
        <v>461</v>
      </c>
      <c r="AF14" t="s">
        <v>377</v>
      </c>
      <c r="AG14" t="s">
        <v>378</v>
      </c>
      <c r="AH14" s="125" t="s">
        <v>462</v>
      </c>
      <c r="AJ14" s="121"/>
      <c r="AK14" s="144" t="s">
        <v>956</v>
      </c>
      <c r="AL14" s="144"/>
      <c r="AM14" s="144"/>
      <c r="AN14" s="196"/>
      <c r="AQ14" s="223" t="s">
        <v>423</v>
      </c>
      <c r="AR14" s="75">
        <v>1.1000000000000001</v>
      </c>
      <c r="AS14" s="219">
        <v>644900</v>
      </c>
      <c r="AT14" s="75" t="s">
        <v>424</v>
      </c>
      <c r="AU14" s="220">
        <v>53.316300000000005</v>
      </c>
      <c r="AV14" s="127">
        <f>AU14*AR14/100</f>
        <v>0.58647930000000015</v>
      </c>
      <c r="BL14" s="124" t="s">
        <v>1046</v>
      </c>
      <c r="BM14" s="3">
        <f>BM6*BM11</f>
        <v>39.200000000000003</v>
      </c>
      <c r="BS14" s="125"/>
    </row>
    <row r="15" spans="3:71" x14ac:dyDescent="0.2">
      <c r="C15" s="177">
        <v>2022</v>
      </c>
      <c r="D15" s="3">
        <v>701</v>
      </c>
      <c r="E15" s="3">
        <v>2086</v>
      </c>
      <c r="F15" s="3">
        <v>974</v>
      </c>
      <c r="G15" s="3">
        <v>3761</v>
      </c>
      <c r="H15" s="145">
        <f t="shared" si="0"/>
        <v>0.1863865993086945</v>
      </c>
      <c r="I15" s="145">
        <f t="shared" si="1"/>
        <v>0.55463972347779844</v>
      </c>
      <c r="J15" s="153">
        <f t="shared" si="2"/>
        <v>0.25897367721350706</v>
      </c>
      <c r="L15" s="192" t="s">
        <v>354</v>
      </c>
      <c r="M15" s="196" t="s">
        <v>460</v>
      </c>
      <c r="N15" s="196" t="s">
        <v>387</v>
      </c>
      <c r="O15" s="196" t="s">
        <v>377</v>
      </c>
      <c r="P15" s="196" t="s">
        <v>378</v>
      </c>
      <c r="Q15" s="198" t="s">
        <v>379</v>
      </c>
      <c r="R15" s="166"/>
      <c r="S15" s="166"/>
      <c r="U15" s="166"/>
      <c r="V15" s="166"/>
      <c r="W15" s="166"/>
      <c r="X15" s="166"/>
      <c r="Y15" s="196"/>
      <c r="AC15" s="192" t="s">
        <v>813</v>
      </c>
      <c r="AD15" s="165">
        <v>7.6598682607015037E-2</v>
      </c>
      <c r="AE15" s="3">
        <v>4012</v>
      </c>
      <c r="AF15" s="165">
        <f t="shared" ref="AF15:AF19" si="5">SQRT((AD15 * (1 - AD15)) / AE15)</f>
        <v>4.1988023630102362E-3</v>
      </c>
      <c r="AG15" s="165">
        <f>AD15-(1.96*AF15)</f>
        <v>6.8369029975514972E-2</v>
      </c>
      <c r="AH15" s="184">
        <f>AD15+(1.96*AF15)</f>
        <v>8.4828335238515101E-2</v>
      </c>
      <c r="AK15" s="196"/>
      <c r="AL15" s="121"/>
      <c r="AM15" s="196"/>
      <c r="AN15" s="196"/>
      <c r="AQ15" s="223" t="s">
        <v>425</v>
      </c>
      <c r="AR15" s="75">
        <v>0.7</v>
      </c>
      <c r="AS15" s="219">
        <v>445646</v>
      </c>
      <c r="AT15" s="75" t="s">
        <v>426</v>
      </c>
      <c r="AU15" s="75">
        <v>56.8</v>
      </c>
      <c r="AV15" s="127">
        <f t="shared" ref="AV15:AV36" si="6">AU15*AR15/100</f>
        <v>0.39759999999999995</v>
      </c>
      <c r="BL15" s="124" t="s">
        <v>1047</v>
      </c>
      <c r="BM15" s="3">
        <f>BM13*BM12</f>
        <v>5.3</v>
      </c>
      <c r="BS15" s="125"/>
    </row>
    <row r="16" spans="3:71" x14ac:dyDescent="0.2">
      <c r="C16" s="175" t="s">
        <v>617</v>
      </c>
      <c r="D16" s="3"/>
      <c r="E16" s="3"/>
      <c r="F16" s="3"/>
      <c r="G16" s="3"/>
      <c r="H16" s="3"/>
      <c r="I16" s="3"/>
      <c r="J16" s="176"/>
      <c r="L16" s="192" t="s">
        <v>351</v>
      </c>
      <c r="M16" s="200">
        <v>9.7253633201505679E-2</v>
      </c>
      <c r="N16" s="196">
        <v>41974</v>
      </c>
      <c r="O16" s="200">
        <f t="shared" ref="O16:O18" si="7">SQRT((M16 * (1 - M16)) / N16)</f>
        <v>1.4462574624860389E-3</v>
      </c>
      <c r="P16" s="200">
        <v>9.3474007719064167E-2</v>
      </c>
      <c r="Q16" s="206">
        <v>0.10129313384476103</v>
      </c>
      <c r="R16" s="133"/>
      <c r="S16" s="133"/>
      <c r="T16" s="76"/>
      <c r="U16" s="76"/>
      <c r="Y16" s="196"/>
      <c r="AC16" s="192" t="s">
        <v>348</v>
      </c>
      <c r="AD16" s="165">
        <v>5.4379328977747207E-2</v>
      </c>
      <c r="AE16" s="3">
        <v>4237</v>
      </c>
      <c r="AF16" s="165">
        <f t="shared" si="5"/>
        <v>3.4837434784263611E-3</v>
      </c>
      <c r="AG16" s="165">
        <f t="shared" ref="AG16:AG19" si="8">AD16-(1.96*AF16)</f>
        <v>4.7551191760031537E-2</v>
      </c>
      <c r="AH16" s="184">
        <f t="shared" ref="AH16:AH19" si="9">AD16+(1.96*AF16)</f>
        <v>6.1207466195462877E-2</v>
      </c>
      <c r="AJ16" s="121"/>
      <c r="AK16" s="196"/>
      <c r="AL16" s="121"/>
      <c r="AM16" s="196"/>
      <c r="AN16" s="196"/>
      <c r="AQ16" s="223" t="s">
        <v>427</v>
      </c>
      <c r="AR16" s="75">
        <v>3.1</v>
      </c>
      <c r="AS16" s="219">
        <v>1864304</v>
      </c>
      <c r="AT16" s="75" t="s">
        <v>424</v>
      </c>
      <c r="AU16" s="220">
        <v>53.316300000000005</v>
      </c>
      <c r="AV16" s="127">
        <f t="shared" si="6"/>
        <v>1.6528053000000003</v>
      </c>
      <c r="BL16" s="124" t="s">
        <v>1057</v>
      </c>
      <c r="BM16" s="3">
        <f>BM14+BM15</f>
        <v>44.5</v>
      </c>
      <c r="BS16" s="125"/>
    </row>
    <row r="17" spans="3:71" x14ac:dyDescent="0.2">
      <c r="C17" s="177">
        <v>2014</v>
      </c>
      <c r="D17" s="3">
        <v>17374</v>
      </c>
      <c r="E17" s="3">
        <v>8943</v>
      </c>
      <c r="F17" s="3">
        <v>504</v>
      </c>
      <c r="G17" s="3">
        <v>26821</v>
      </c>
      <c r="H17" s="173">
        <f>D17/G17</f>
        <v>0.64777599642071515</v>
      </c>
      <c r="I17" s="173">
        <f>E17/G17</f>
        <v>0.33343275791357518</v>
      </c>
      <c r="J17" s="178">
        <f>F17/G17</f>
        <v>1.8791245665709704E-2</v>
      </c>
      <c r="L17" s="192" t="s">
        <v>348</v>
      </c>
      <c r="M17" s="200">
        <v>6.5533980582524201E-2</v>
      </c>
      <c r="N17" s="196">
        <v>1648</v>
      </c>
      <c r="O17" s="200">
        <f t="shared" si="7"/>
        <v>6.0958802523251579E-3</v>
      </c>
      <c r="P17" s="200">
        <v>5.3586055287966901E-2</v>
      </c>
      <c r="Q17" s="206">
        <v>7.7481905877081494E-2</v>
      </c>
      <c r="R17" s="133"/>
      <c r="S17" s="133"/>
      <c r="T17" s="76"/>
      <c r="U17" s="76"/>
      <c r="AC17" s="192" t="s">
        <v>582</v>
      </c>
      <c r="AD17" s="165">
        <v>1.4102084113315859E-2</v>
      </c>
      <c r="AE17" s="3">
        <v>4387</v>
      </c>
      <c r="AF17" s="165">
        <f t="shared" si="5"/>
        <v>1.780220539464367E-3</v>
      </c>
      <c r="AG17" s="165">
        <f t="shared" si="8"/>
        <v>1.0612851855965701E-2</v>
      </c>
      <c r="AH17" s="184">
        <f t="shared" si="9"/>
        <v>1.7591316370666018E-2</v>
      </c>
      <c r="AJ17" s="121"/>
      <c r="AK17" s="196"/>
      <c r="AL17" s="121"/>
      <c r="AM17" s="196"/>
      <c r="AN17" s="196"/>
      <c r="AQ17" s="223" t="s">
        <v>428</v>
      </c>
      <c r="AR17" s="75">
        <v>2.7</v>
      </c>
      <c r="AS17" s="219">
        <v>1587822</v>
      </c>
      <c r="AT17" s="75" t="s">
        <v>424</v>
      </c>
      <c r="AU17" s="220">
        <v>53.316300000000005</v>
      </c>
      <c r="AV17" s="127">
        <f t="shared" si="6"/>
        <v>1.4395401000000001</v>
      </c>
      <c r="BL17" s="124" t="s">
        <v>1058</v>
      </c>
      <c r="BM17" s="3">
        <v>4.9000000000000002E-2</v>
      </c>
      <c r="BS17" s="125"/>
    </row>
    <row r="18" spans="3:71" x14ac:dyDescent="0.2">
      <c r="C18" s="177">
        <v>2015</v>
      </c>
      <c r="D18" s="3">
        <v>16185</v>
      </c>
      <c r="E18" s="3">
        <v>10645</v>
      </c>
      <c r="F18" s="3">
        <v>500</v>
      </c>
      <c r="G18" s="3">
        <v>27330</v>
      </c>
      <c r="H18" s="173">
        <f t="shared" ref="H18:H25" si="10">D18/G18</f>
        <v>0.59220636663007686</v>
      </c>
      <c r="I18" s="173">
        <f t="shared" ref="I18:I25" si="11">E18/G18</f>
        <v>0.38949871935601904</v>
      </c>
      <c r="J18" s="178">
        <f t="shared" ref="J18:J25" si="12">F18/G18</f>
        <v>1.8294914013904134E-2</v>
      </c>
      <c r="L18" s="192" t="s">
        <v>349</v>
      </c>
      <c r="M18" s="211">
        <v>1.24221995061186E-2</v>
      </c>
      <c r="N18" s="212">
        <v>11653</v>
      </c>
      <c r="O18" s="200">
        <f t="shared" si="7"/>
        <v>1.0260441208098795E-3</v>
      </c>
      <c r="P18" s="200">
        <v>1.1299999999999999E-2</v>
      </c>
      <c r="Q18" s="206">
        <v>1.2699999999999999E-2</v>
      </c>
      <c r="R18" s="133"/>
      <c r="S18" s="133"/>
      <c r="T18" s="76"/>
      <c r="U18" s="76"/>
      <c r="AC18" s="192" t="s">
        <v>814</v>
      </c>
      <c r="AD18" s="165">
        <v>2.2859883302693625E-2</v>
      </c>
      <c r="AE18" s="3">
        <v>4387</v>
      </c>
      <c r="AF18" s="165">
        <f t="shared" si="5"/>
        <v>2.2564806266275154E-3</v>
      </c>
      <c r="AG18" s="165">
        <f t="shared" si="8"/>
        <v>1.8437181274503694E-2</v>
      </c>
      <c r="AH18" s="184">
        <f t="shared" si="9"/>
        <v>2.7282585330883555E-2</v>
      </c>
      <c r="AJ18" s="121"/>
      <c r="AQ18" s="223" t="s">
        <v>429</v>
      </c>
      <c r="AR18" s="75">
        <v>1.6</v>
      </c>
      <c r="AS18" s="219">
        <v>972783</v>
      </c>
      <c r="AT18" s="75" t="s">
        <v>424</v>
      </c>
      <c r="AU18" s="220">
        <v>53.316300000000005</v>
      </c>
      <c r="AV18" s="127">
        <f t="shared" si="6"/>
        <v>0.85306080000000006</v>
      </c>
      <c r="BL18" s="130" t="s">
        <v>1059</v>
      </c>
      <c r="BM18" s="185" t="s">
        <v>1048</v>
      </c>
      <c r="BN18" s="128"/>
      <c r="BO18" s="128"/>
      <c r="BP18" s="128"/>
      <c r="BQ18" s="128"/>
      <c r="BR18" s="128"/>
      <c r="BS18" s="129"/>
    </row>
    <row r="19" spans="3:71" x14ac:dyDescent="0.2">
      <c r="C19" s="177">
        <v>2016</v>
      </c>
      <c r="D19" s="3">
        <v>16148</v>
      </c>
      <c r="E19" s="3">
        <v>11775</v>
      </c>
      <c r="F19" s="3">
        <v>357</v>
      </c>
      <c r="G19" s="3">
        <v>28280</v>
      </c>
      <c r="H19" s="173">
        <f t="shared" si="10"/>
        <v>0.57100424328147104</v>
      </c>
      <c r="I19" s="173">
        <f t="shared" si="11"/>
        <v>0.41637199434229138</v>
      </c>
      <c r="J19" s="178">
        <f t="shared" si="12"/>
        <v>1.2623762376237625E-2</v>
      </c>
      <c r="L19" s="192" t="s">
        <v>385</v>
      </c>
      <c r="M19" s="196">
        <v>2.1999999999999999E-2</v>
      </c>
      <c r="N19" s="196">
        <v>1023</v>
      </c>
      <c r="O19" s="200">
        <f>SQRT((M19 * (1 - M19)) / N19)</f>
        <v>4.5860939877542988E-3</v>
      </c>
      <c r="P19" s="200">
        <f>M19 - (1.96 * O19)</f>
        <v>1.3011255784001573E-2</v>
      </c>
      <c r="Q19" s="206">
        <f>M19 + (1.96 * O19)</f>
        <v>3.0988744215998426E-2</v>
      </c>
      <c r="R19" s="133"/>
      <c r="S19" s="133"/>
      <c r="T19" s="76"/>
      <c r="U19" s="76"/>
      <c r="AC19" s="202" t="s">
        <v>815</v>
      </c>
      <c r="AD19" s="216">
        <v>8.6305323455729055E-2</v>
      </c>
      <c r="AE19" s="185">
        <v>4387</v>
      </c>
      <c r="AF19" s="216">
        <f t="shared" si="5"/>
        <v>4.2397038584785236E-3</v>
      </c>
      <c r="AG19" s="216">
        <f t="shared" si="8"/>
        <v>7.7995503893111148E-2</v>
      </c>
      <c r="AH19" s="186">
        <f t="shared" si="9"/>
        <v>9.4615143018346962E-2</v>
      </c>
      <c r="AQ19" s="223" t="s">
        <v>430</v>
      </c>
      <c r="AR19" s="75"/>
      <c r="AS19" s="138"/>
      <c r="AT19" s="75"/>
      <c r="AU19" s="75"/>
      <c r="AV19" s="127"/>
    </row>
    <row r="20" spans="3:71" x14ac:dyDescent="0.2">
      <c r="C20" s="177">
        <v>2017</v>
      </c>
      <c r="D20" s="3">
        <v>14726</v>
      </c>
      <c r="E20" s="3">
        <v>13568</v>
      </c>
      <c r="F20" s="3">
        <v>329</v>
      </c>
      <c r="G20" s="3">
        <v>28623</v>
      </c>
      <c r="H20" s="173">
        <f t="shared" si="10"/>
        <v>0.51448136114313658</v>
      </c>
      <c r="I20" s="173">
        <f t="shared" si="11"/>
        <v>0.47402438598330016</v>
      </c>
      <c r="J20" s="178">
        <f t="shared" si="12"/>
        <v>1.1494252873563218E-2</v>
      </c>
      <c r="L20" s="202" t="s">
        <v>386</v>
      </c>
      <c r="M20" s="203">
        <v>6.0999999999999999E-2</v>
      </c>
      <c r="N20" s="203">
        <v>1023</v>
      </c>
      <c r="O20" s="215">
        <f>SQRT((M20 * (1 - M20)) / N20)</f>
        <v>7.4827269324786311E-3</v>
      </c>
      <c r="P20" s="215">
        <f>M20 - (1.96 * O20)</f>
        <v>4.633385521234188E-2</v>
      </c>
      <c r="Q20" s="207">
        <f>M20 + (1.96 * O20)</f>
        <v>7.566614478765811E-2</v>
      </c>
      <c r="R20" s="133"/>
      <c r="S20" s="133"/>
      <c r="T20" s="76"/>
      <c r="U20" s="76"/>
      <c r="AE20" s="3"/>
      <c r="AF20" s="3"/>
      <c r="AG20" s="3"/>
      <c r="AH20" s="3"/>
      <c r="AQ20" s="223" t="s">
        <v>431</v>
      </c>
      <c r="AR20" s="75">
        <v>2.5</v>
      </c>
      <c r="AS20" s="219">
        <v>1488387</v>
      </c>
      <c r="AT20" s="75" t="s">
        <v>432</v>
      </c>
      <c r="AU20" s="220">
        <v>31.132899999999996</v>
      </c>
      <c r="AV20" s="127">
        <f t="shared" si="6"/>
        <v>0.77832249999999992</v>
      </c>
    </row>
    <row r="21" spans="3:71" x14ac:dyDescent="0.2">
      <c r="C21" s="177">
        <v>2018</v>
      </c>
      <c r="D21" s="3">
        <v>13506</v>
      </c>
      <c r="E21" s="3">
        <v>13359</v>
      </c>
      <c r="F21" s="3">
        <v>289</v>
      </c>
      <c r="G21" s="3">
        <v>27154</v>
      </c>
      <c r="H21" s="173">
        <f t="shared" si="10"/>
        <v>0.49738528393606835</v>
      </c>
      <c r="I21" s="173">
        <f t="shared" si="11"/>
        <v>0.49197171687412539</v>
      </c>
      <c r="J21" s="178">
        <f t="shared" si="12"/>
        <v>1.0642999189806291E-2</v>
      </c>
      <c r="AC21" s="189" t="s">
        <v>643</v>
      </c>
      <c r="AD21" s="122"/>
      <c r="AE21" s="213"/>
      <c r="AF21" s="213"/>
      <c r="AG21" s="213"/>
      <c r="AH21" s="214"/>
      <c r="AK21" s="196"/>
      <c r="AL21" s="196"/>
      <c r="AM21" s="196"/>
      <c r="AN21" s="76"/>
      <c r="AQ21" s="223" t="s">
        <v>433</v>
      </c>
      <c r="AR21" s="75">
        <v>1</v>
      </c>
      <c r="AS21" s="219">
        <v>623115</v>
      </c>
      <c r="AT21" s="75" t="s">
        <v>432</v>
      </c>
      <c r="AU21" s="220">
        <v>31.132899999999996</v>
      </c>
      <c r="AV21" s="127">
        <f t="shared" si="6"/>
        <v>0.31132899999999997</v>
      </c>
    </row>
    <row r="22" spans="3:71" x14ac:dyDescent="0.2">
      <c r="C22" s="177">
        <v>2019</v>
      </c>
      <c r="D22" s="3">
        <v>13809</v>
      </c>
      <c r="E22" s="3">
        <v>14450</v>
      </c>
      <c r="F22" s="3">
        <v>270</v>
      </c>
      <c r="G22" s="3">
        <v>28529</v>
      </c>
      <c r="H22" s="173">
        <f t="shared" si="10"/>
        <v>0.48403379017841497</v>
      </c>
      <c r="I22" s="173">
        <f t="shared" si="11"/>
        <v>0.50650215570121626</v>
      </c>
      <c r="J22" s="178">
        <f t="shared" si="12"/>
        <v>9.4640541203687475E-3</v>
      </c>
      <c r="AC22" s="217" t="s">
        <v>354</v>
      </c>
      <c r="AD22" t="s">
        <v>796</v>
      </c>
      <c r="AE22" s="3" t="s">
        <v>461</v>
      </c>
      <c r="AF22" s="3" t="s">
        <v>377</v>
      </c>
      <c r="AG22" s="3" t="s">
        <v>378</v>
      </c>
      <c r="AH22" s="176" t="s">
        <v>462</v>
      </c>
      <c r="AK22" s="196"/>
      <c r="AL22" s="196"/>
      <c r="AM22" s="196"/>
      <c r="AN22" s="76"/>
      <c r="AQ22" s="223" t="s">
        <v>434</v>
      </c>
      <c r="AR22" s="75">
        <v>0.5</v>
      </c>
      <c r="AS22" s="219">
        <v>297781</v>
      </c>
      <c r="AT22" s="75" t="s">
        <v>432</v>
      </c>
      <c r="AU22" s="220">
        <v>31.132899999999996</v>
      </c>
      <c r="AV22" s="127">
        <f t="shared" si="6"/>
        <v>0.15566449999999998</v>
      </c>
    </row>
    <row r="23" spans="3:71" x14ac:dyDescent="0.2">
      <c r="C23" s="177">
        <v>2020</v>
      </c>
      <c r="D23" s="3">
        <v>12230</v>
      </c>
      <c r="E23" s="3">
        <v>12743</v>
      </c>
      <c r="F23" s="3">
        <v>578</v>
      </c>
      <c r="G23" s="3">
        <v>25551</v>
      </c>
      <c r="H23" s="173">
        <f t="shared" si="10"/>
        <v>0.47865054205314861</v>
      </c>
      <c r="I23" s="173">
        <f t="shared" si="11"/>
        <v>0.49872803412782279</v>
      </c>
      <c r="J23" s="178">
        <f t="shared" si="12"/>
        <v>2.262142381902861E-2</v>
      </c>
      <c r="L23" s="273"/>
      <c r="M23" s="200"/>
      <c r="AC23" s="192" t="s">
        <v>367</v>
      </c>
      <c r="AD23" s="165">
        <v>9.7253633201505651E-2</v>
      </c>
      <c r="AE23" s="3">
        <v>1769</v>
      </c>
      <c r="AF23" s="165">
        <f>SQRT((AD23 * (1 - AD23)) / AE23)</f>
        <v>7.0448520280021361E-3</v>
      </c>
      <c r="AG23" s="165">
        <f>AD23-(1.96*AF23)</f>
        <v>8.3445723226621471E-2</v>
      </c>
      <c r="AH23" s="184">
        <f>AD23+(1.96*AF23)</f>
        <v>0.11106154317638983</v>
      </c>
      <c r="AK23" s="196"/>
      <c r="AL23" s="196"/>
      <c r="AM23" s="196"/>
      <c r="AN23" s="76"/>
      <c r="AQ23" s="223" t="s">
        <v>435</v>
      </c>
      <c r="AR23" s="75"/>
      <c r="AS23" s="138"/>
      <c r="AT23" s="75"/>
      <c r="AU23" s="75"/>
      <c r="AV23" s="127">
        <f t="shared" si="6"/>
        <v>0</v>
      </c>
    </row>
    <row r="24" spans="3:71" x14ac:dyDescent="0.2">
      <c r="C24" s="177">
        <v>2021</v>
      </c>
      <c r="D24" s="3">
        <v>13228</v>
      </c>
      <c r="E24" s="3">
        <v>12349</v>
      </c>
      <c r="F24" s="3">
        <v>784</v>
      </c>
      <c r="G24" s="3">
        <v>26361</v>
      </c>
      <c r="H24" s="173">
        <f t="shared" si="10"/>
        <v>0.50180190432836391</v>
      </c>
      <c r="I24" s="173">
        <f t="shared" si="11"/>
        <v>0.46845719054664087</v>
      </c>
      <c r="J24" s="178">
        <f t="shared" si="12"/>
        <v>2.9740905124995259E-2</v>
      </c>
      <c r="L24" s="273"/>
      <c r="M24" s="274"/>
      <c r="N24" s="172"/>
      <c r="O24" s="172"/>
      <c r="P24" s="581"/>
      <c r="Q24" s="581"/>
      <c r="R24" s="581"/>
      <c r="S24" s="581"/>
      <c r="T24" s="168"/>
      <c r="U24" s="168"/>
      <c r="V24" s="168"/>
      <c r="W24" s="168"/>
      <c r="X24" s="168"/>
      <c r="Y24" s="581"/>
      <c r="Z24" s="581"/>
      <c r="AA24" s="581"/>
      <c r="AB24" s="581"/>
      <c r="AC24" s="192" t="s">
        <v>348</v>
      </c>
      <c r="AD24" s="165">
        <v>4.9969154842689711E-2</v>
      </c>
      <c r="AE24" s="3">
        <v>1769</v>
      </c>
      <c r="AF24" s="165">
        <f t="shared" ref="AF24:AF27" si="13">SQRT((AD24 * (1 - AD24)) / AE24)</f>
        <v>5.1803122542955935E-3</v>
      </c>
      <c r="AG24" s="165">
        <f t="shared" ref="AG24:AG27" si="14">AD24-(1.96*AF24)</f>
        <v>3.9815742824270348E-2</v>
      </c>
      <c r="AH24" s="184">
        <f t="shared" ref="AH24:AH27" si="15">AD24+(1.96*AF24)</f>
        <v>6.0122566861109075E-2</v>
      </c>
      <c r="AK24" s="196"/>
      <c r="AL24" s="196"/>
      <c r="AM24" s="196"/>
      <c r="AN24" s="76"/>
      <c r="AQ24" s="223" t="s">
        <v>436</v>
      </c>
      <c r="AR24" s="75">
        <v>0.8</v>
      </c>
      <c r="AS24" s="219">
        <v>488228</v>
      </c>
      <c r="AT24" s="75" t="s">
        <v>437</v>
      </c>
      <c r="AU24" s="220">
        <v>26.287100000000006</v>
      </c>
      <c r="AV24" s="127">
        <f t="shared" si="6"/>
        <v>0.21029680000000006</v>
      </c>
    </row>
    <row r="25" spans="3:71" x14ac:dyDescent="0.2">
      <c r="C25" s="177">
        <v>2022</v>
      </c>
      <c r="D25" s="3">
        <v>3135</v>
      </c>
      <c r="E25" s="3">
        <v>2970</v>
      </c>
      <c r="F25" s="3">
        <v>158</v>
      </c>
      <c r="G25" s="3">
        <v>6263</v>
      </c>
      <c r="H25" s="173">
        <f t="shared" si="10"/>
        <v>0.5005588376177551</v>
      </c>
      <c r="I25" s="173">
        <f t="shared" si="11"/>
        <v>0.47421363563787322</v>
      </c>
      <c r="J25" s="178">
        <f t="shared" si="12"/>
        <v>2.5227526744371707E-2</v>
      </c>
      <c r="L25" s="273"/>
      <c r="M25" s="274"/>
      <c r="N25" s="172"/>
      <c r="O25" s="172"/>
      <c r="P25" s="169"/>
      <c r="Q25" s="169"/>
      <c r="R25" s="169"/>
      <c r="S25" s="169"/>
      <c r="T25" s="169"/>
      <c r="U25" s="169"/>
      <c r="V25" s="169"/>
      <c r="W25" s="169"/>
      <c r="X25" s="169"/>
      <c r="Y25" s="169"/>
      <c r="Z25" s="169"/>
      <c r="AA25" s="169"/>
      <c r="AB25" s="169"/>
      <c r="AC25" s="192" t="s">
        <v>349</v>
      </c>
      <c r="AD25" s="165">
        <v>1.1635180783185286E-2</v>
      </c>
      <c r="AE25" s="3">
        <v>1769</v>
      </c>
      <c r="AF25" s="165">
        <f t="shared" si="13"/>
        <v>2.5496542457632007E-3</v>
      </c>
      <c r="AG25" s="165">
        <f t="shared" si="14"/>
        <v>6.6378584614894126E-3</v>
      </c>
      <c r="AH25" s="184">
        <f t="shared" si="15"/>
        <v>1.6632503104881159E-2</v>
      </c>
      <c r="AK25" s="196"/>
      <c r="AL25" s="196"/>
      <c r="AM25" s="196"/>
      <c r="AN25" s="76"/>
      <c r="AQ25" s="223" t="s">
        <v>438</v>
      </c>
      <c r="AR25" s="75">
        <v>0.4</v>
      </c>
      <c r="AS25" s="219">
        <v>249593</v>
      </c>
      <c r="AT25" s="75" t="s">
        <v>437</v>
      </c>
      <c r="AU25" s="220">
        <v>26.287100000000006</v>
      </c>
      <c r="AV25" s="127">
        <f t="shared" si="6"/>
        <v>0.10514840000000003</v>
      </c>
    </row>
    <row r="26" spans="3:71" ht="15" customHeight="1" x14ac:dyDescent="0.2">
      <c r="C26" s="179" t="s">
        <v>383</v>
      </c>
      <c r="D26" s="577" t="s">
        <v>618</v>
      </c>
      <c r="E26" s="577"/>
      <c r="F26" s="577"/>
      <c r="G26" s="577"/>
      <c r="H26" s="577"/>
      <c r="I26" s="577"/>
      <c r="J26" s="578"/>
      <c r="L26" s="273"/>
      <c r="M26" s="196"/>
      <c r="N26" s="170"/>
      <c r="O26" s="170"/>
      <c r="P26" s="170"/>
      <c r="Q26" s="170"/>
      <c r="R26" s="170"/>
      <c r="S26" s="170"/>
      <c r="T26" s="170"/>
      <c r="U26" s="170"/>
      <c r="V26" s="170"/>
      <c r="W26" s="170"/>
      <c r="X26" s="170"/>
      <c r="Y26" s="171"/>
      <c r="Z26" s="171"/>
      <c r="AA26" s="171"/>
      <c r="AB26" s="171"/>
      <c r="AC26" s="192" t="s">
        <v>369</v>
      </c>
      <c r="AD26" s="165">
        <v>3.1165177421591746E-2</v>
      </c>
      <c r="AE26" s="3">
        <v>1023</v>
      </c>
      <c r="AF26" s="165">
        <f t="shared" si="13"/>
        <v>5.4327767021908327E-3</v>
      </c>
      <c r="AG26" s="165">
        <f t="shared" si="14"/>
        <v>2.0516935085297713E-2</v>
      </c>
      <c r="AH26" s="184">
        <f t="shared" si="15"/>
        <v>4.1813419757885779E-2</v>
      </c>
      <c r="AQ26" s="223" t="s">
        <v>439</v>
      </c>
      <c r="AR26" s="75">
        <v>0.9</v>
      </c>
      <c r="AS26" s="219">
        <v>513040</v>
      </c>
      <c r="AT26" s="75" t="s">
        <v>437</v>
      </c>
      <c r="AU26" s="220">
        <v>26.287100000000006</v>
      </c>
      <c r="AV26" s="127">
        <f t="shared" si="6"/>
        <v>0.23658390000000004</v>
      </c>
    </row>
    <row r="27" spans="3:71" x14ac:dyDescent="0.2">
      <c r="L27" s="273"/>
      <c r="M27" s="196"/>
      <c r="N27" s="170"/>
      <c r="O27" s="170"/>
      <c r="P27" s="170"/>
      <c r="Q27" s="170"/>
      <c r="R27" s="170"/>
      <c r="S27" s="170"/>
      <c r="T27" s="170"/>
      <c r="U27" s="170"/>
      <c r="V27" s="170"/>
      <c r="W27" s="170"/>
      <c r="X27" s="170"/>
      <c r="Y27" s="171"/>
      <c r="Z27" s="171"/>
      <c r="AA27" s="171"/>
      <c r="AB27" s="171"/>
      <c r="AC27" s="202" t="s">
        <v>370</v>
      </c>
      <c r="AD27" s="216">
        <v>0.12489534758632949</v>
      </c>
      <c r="AE27" s="185">
        <v>1023</v>
      </c>
      <c r="AF27" s="216">
        <f t="shared" si="13"/>
        <v>1.0336304860998012E-2</v>
      </c>
      <c r="AG27" s="216">
        <f t="shared" si="14"/>
        <v>0.10463619005877339</v>
      </c>
      <c r="AH27" s="186">
        <f t="shared" si="15"/>
        <v>0.14515450511388558</v>
      </c>
      <c r="AQ27" s="223" t="s">
        <v>440</v>
      </c>
      <c r="AR27" s="75">
        <v>0.8</v>
      </c>
      <c r="AS27" s="219">
        <v>467116</v>
      </c>
      <c r="AT27" s="75" t="s">
        <v>437</v>
      </c>
      <c r="AU27" s="220">
        <v>26.287100000000006</v>
      </c>
      <c r="AV27" s="127">
        <f t="shared" si="6"/>
        <v>0.21029680000000006</v>
      </c>
    </row>
    <row r="28" spans="3:71" x14ac:dyDescent="0.2">
      <c r="E28" s="290"/>
      <c r="F28" s="275"/>
      <c r="L28" s="169"/>
      <c r="M28" s="170"/>
      <c r="N28" s="170"/>
      <c r="O28" s="170"/>
      <c r="P28" s="170"/>
      <c r="Q28" s="170"/>
      <c r="R28" s="170"/>
      <c r="S28" s="170"/>
      <c r="T28" s="170"/>
      <c r="U28" s="170"/>
      <c r="V28" s="170"/>
      <c r="W28" s="170"/>
      <c r="X28" s="170"/>
      <c r="Y28" s="171"/>
      <c r="Z28" s="171"/>
      <c r="AA28" s="171"/>
      <c r="AB28" s="171"/>
      <c r="AQ28" s="223" t="s">
        <v>413</v>
      </c>
      <c r="AR28" s="75"/>
      <c r="AS28" s="138"/>
      <c r="AT28" s="75"/>
      <c r="AU28" s="220"/>
      <c r="AV28" s="127"/>
    </row>
    <row r="29" spans="3:71" x14ac:dyDescent="0.2">
      <c r="D29" s="218"/>
      <c r="E29" s="218"/>
      <c r="L29" s="169"/>
      <c r="M29" s="170"/>
      <c r="N29" s="170"/>
      <c r="O29" s="170"/>
      <c r="P29" s="170"/>
      <c r="Q29" s="170"/>
      <c r="R29" s="170"/>
      <c r="S29" s="170"/>
      <c r="T29" s="170"/>
      <c r="U29" s="170"/>
      <c r="V29" s="170"/>
      <c r="W29" s="170"/>
      <c r="X29" s="170"/>
      <c r="Y29" s="171"/>
      <c r="Z29" s="171"/>
      <c r="AA29" s="171"/>
      <c r="AB29" s="171"/>
      <c r="AD29" s="121"/>
      <c r="AQ29" s="223" t="s">
        <v>441</v>
      </c>
      <c r="AR29" s="75">
        <v>0.1</v>
      </c>
      <c r="AS29" s="219">
        <v>67757</v>
      </c>
      <c r="AT29" s="75" t="s">
        <v>442</v>
      </c>
      <c r="AU29" s="220">
        <v>27.128499999999995</v>
      </c>
      <c r="AV29" s="127">
        <f t="shared" si="6"/>
        <v>2.7128499999999996E-2</v>
      </c>
    </row>
    <row r="30" spans="3:71" x14ac:dyDescent="0.2">
      <c r="D30" s="218"/>
      <c r="E30" s="218"/>
      <c r="L30" s="169"/>
      <c r="M30" s="170"/>
      <c r="N30" s="170"/>
      <c r="O30" s="170"/>
      <c r="P30" s="170"/>
      <c r="Q30" s="170"/>
      <c r="R30" s="170"/>
      <c r="S30" s="170"/>
      <c r="T30" s="170"/>
      <c r="U30" s="170"/>
      <c r="V30" s="170"/>
      <c r="W30" s="170"/>
      <c r="X30" s="170"/>
      <c r="Y30" s="171"/>
      <c r="Z30" s="171"/>
      <c r="AA30" s="171"/>
      <c r="AB30" s="171"/>
      <c r="AD30" s="121"/>
      <c r="AQ30" s="223" t="s">
        <v>443</v>
      </c>
      <c r="AR30" s="75">
        <v>0.2</v>
      </c>
      <c r="AS30" s="219">
        <v>100964</v>
      </c>
      <c r="AT30" s="75" t="s">
        <v>442</v>
      </c>
      <c r="AU30" s="220">
        <v>27.128499999999995</v>
      </c>
      <c r="AV30" s="127">
        <f t="shared" si="6"/>
        <v>5.4256999999999993E-2</v>
      </c>
    </row>
    <row r="31" spans="3:71" x14ac:dyDescent="0.2">
      <c r="D31" s="218"/>
      <c r="E31" s="218"/>
      <c r="AD31" s="121"/>
      <c r="AQ31" s="223" t="s">
        <v>444</v>
      </c>
      <c r="AR31" s="75">
        <v>74.400000000000006</v>
      </c>
      <c r="AS31" s="219">
        <v>44355044</v>
      </c>
      <c r="AT31" s="75" t="s">
        <v>442</v>
      </c>
      <c r="AU31" s="220">
        <v>27.128499999999995</v>
      </c>
      <c r="AV31" s="127">
        <f t="shared" si="6"/>
        <v>20.183603999999999</v>
      </c>
    </row>
    <row r="32" spans="3:71" x14ac:dyDescent="0.2">
      <c r="AD32" s="121"/>
      <c r="AQ32" s="223" t="s">
        <v>445</v>
      </c>
      <c r="AR32" s="75">
        <v>0.9</v>
      </c>
      <c r="AS32" s="219">
        <v>507473</v>
      </c>
      <c r="AT32" s="75" t="s">
        <v>442</v>
      </c>
      <c r="AU32" s="220">
        <v>27.128499999999995</v>
      </c>
      <c r="AV32" s="127">
        <f t="shared" si="6"/>
        <v>0.24415649999999997</v>
      </c>
    </row>
    <row r="33" spans="30:48" x14ac:dyDescent="0.2">
      <c r="AD33" s="121"/>
      <c r="AQ33" s="223" t="s">
        <v>446</v>
      </c>
      <c r="AR33" s="75">
        <v>6.2</v>
      </c>
      <c r="AS33" s="219">
        <v>3667993</v>
      </c>
      <c r="AT33" s="75" t="s">
        <v>442</v>
      </c>
      <c r="AU33" s="220">
        <v>27.128499999999995</v>
      </c>
      <c r="AV33" s="127">
        <f t="shared" si="6"/>
        <v>1.6819669999999995</v>
      </c>
    </row>
    <row r="34" spans="30:48" x14ac:dyDescent="0.2">
      <c r="AQ34" s="223" t="s">
        <v>437</v>
      </c>
      <c r="AR34" s="75"/>
      <c r="AS34" s="75"/>
      <c r="AT34" s="75"/>
      <c r="AU34" s="220"/>
      <c r="AV34" s="127"/>
    </row>
    <row r="35" spans="30:48" x14ac:dyDescent="0.2">
      <c r="AD35" s="121"/>
      <c r="AQ35" s="223" t="s">
        <v>447</v>
      </c>
      <c r="AR35" s="75">
        <v>0.6</v>
      </c>
      <c r="AS35" s="221">
        <v>331856</v>
      </c>
      <c r="AT35" s="75" t="s">
        <v>448</v>
      </c>
      <c r="AU35" s="220">
        <v>26.287100000000006</v>
      </c>
      <c r="AV35" s="127">
        <f t="shared" si="6"/>
        <v>0.15772260000000002</v>
      </c>
    </row>
    <row r="36" spans="30:48" x14ac:dyDescent="0.2">
      <c r="AD36" s="121"/>
      <c r="AQ36" s="223" t="s">
        <v>654</v>
      </c>
      <c r="AR36" s="75">
        <v>1.6</v>
      </c>
      <c r="AS36" s="221">
        <v>923776</v>
      </c>
      <c r="AT36" s="75" t="s">
        <v>448</v>
      </c>
      <c r="AU36" s="220">
        <v>26.287100000000006</v>
      </c>
      <c r="AV36" s="127">
        <f t="shared" si="6"/>
        <v>0.42059360000000012</v>
      </c>
    </row>
    <row r="37" spans="30:48" x14ac:dyDescent="0.2">
      <c r="AD37" s="121"/>
      <c r="AQ37" s="135" t="s">
        <v>449</v>
      </c>
      <c r="AR37" s="75"/>
      <c r="AS37" s="75"/>
      <c r="AT37" s="75"/>
      <c r="AU37" s="75"/>
      <c r="AV37" s="127">
        <f>SUM(AV14:AV36)</f>
        <v>29.706556599999999</v>
      </c>
    </row>
    <row r="38" spans="30:48" x14ac:dyDescent="0.2">
      <c r="AD38" s="121"/>
      <c r="AQ38" s="124"/>
      <c r="AV38" s="125"/>
    </row>
    <row r="39" spans="30:48" x14ac:dyDescent="0.2">
      <c r="AD39" s="121"/>
      <c r="AQ39" s="124" t="s">
        <v>647</v>
      </c>
      <c r="AR39" t="s">
        <v>653</v>
      </c>
      <c r="AV39" s="125"/>
    </row>
    <row r="40" spans="30:48" x14ac:dyDescent="0.2">
      <c r="AQ40" s="124" t="s">
        <v>411</v>
      </c>
      <c r="AR40" s="224" t="s">
        <v>652</v>
      </c>
      <c r="AV40" s="125"/>
    </row>
    <row r="41" spans="30:48" x14ac:dyDescent="0.2">
      <c r="AQ41" s="124" t="s">
        <v>648</v>
      </c>
      <c r="AR41" s="224" t="s">
        <v>650</v>
      </c>
      <c r="AV41" s="125"/>
    </row>
    <row r="42" spans="30:48" x14ac:dyDescent="0.2">
      <c r="AQ42" s="130" t="s">
        <v>649</v>
      </c>
      <c r="AR42" s="128" t="s">
        <v>651</v>
      </c>
      <c r="AS42" s="128"/>
      <c r="AT42" s="128"/>
      <c r="AU42" s="128"/>
      <c r="AV42" s="129"/>
    </row>
  </sheetData>
  <mergeCells count="7">
    <mergeCell ref="D26:J26"/>
    <mergeCell ref="M10:P10"/>
    <mergeCell ref="AR11:AS11"/>
    <mergeCell ref="AG3:AJ3"/>
    <mergeCell ref="Y24:AB24"/>
    <mergeCell ref="P24:Q24"/>
    <mergeCell ref="R24:S24"/>
  </mergeCells>
  <hyperlinks>
    <hyperlink ref="D26" r:id="rId1" display="https://doi.org/10.1161/jaha.124.034414" xr:uid="{74D8E13B-E546-461B-83E8-E6ED49FA12A2}"/>
    <hyperlink ref="AR41" r:id="rId2" display="https://doi.org/10.1111/cts.12830" xr:uid="{D484D76B-243D-4863-8457-692893D7FA31}"/>
    <hyperlink ref="AR40" r:id="rId3" display="https://doi.org/10.1016/j.jns.2016.08.025" xr:uid="{03C68187-FA64-4A09-A722-78D911D787FA}"/>
  </hyperlinks>
  <pageMargins left="0.7" right="0.7" top="0.75" bottom="0.75" header="0.3" footer="0.3"/>
  <pageSetup paperSize="9" orientation="portrait" r:id="rId4"/>
  <legacy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9C243C-C82C-4A3A-BF64-B6D95F1AF4A1}">
  <dimension ref="A1:AS106"/>
  <sheetViews>
    <sheetView showGridLines="0" zoomScale="70" zoomScaleNormal="70" workbookViewId="0">
      <pane ySplit="2" topLeftCell="A41" activePane="bottomLeft" state="frozen"/>
      <selection pane="bottomLeft" activeCell="P19" sqref="P19"/>
    </sheetView>
  </sheetViews>
  <sheetFormatPr baseColWidth="10" defaultColWidth="8.83203125" defaultRowHeight="15" x14ac:dyDescent="0.2"/>
  <cols>
    <col min="1" max="1" width="2.1640625" customWidth="1"/>
    <col min="2" max="2" width="64.83203125" customWidth="1"/>
    <col min="3" max="4" width="0.83203125" customWidth="1"/>
    <col min="5" max="5" width="9.1640625" style="3" customWidth="1"/>
    <col min="6" max="6" width="1.83203125" style="3" customWidth="1"/>
    <col min="7" max="7" width="9.1640625" style="3" customWidth="1"/>
    <col min="8" max="8" width="0.83203125" style="3" customWidth="1"/>
    <col min="9" max="9" width="11.5" customWidth="1"/>
    <col min="10" max="10" width="1.1640625" customWidth="1"/>
    <col min="11" max="11" width="11.83203125" customWidth="1"/>
    <col min="12" max="12" width="0.83203125" customWidth="1"/>
    <col min="13" max="13" width="1.5" style="3" customWidth="1"/>
    <col min="14" max="14" width="14.1640625" style="3" customWidth="1"/>
    <col min="15" max="15" width="1.83203125" style="3" customWidth="1"/>
    <col min="16" max="16" width="14.1640625" style="3" customWidth="1"/>
    <col min="17" max="17" width="1.83203125" style="3" customWidth="1"/>
    <col min="18" max="18" width="14.1640625" style="3" customWidth="1"/>
    <col min="19" max="19" width="1.83203125" style="3" customWidth="1"/>
    <col min="20" max="20" width="16.5" style="3" customWidth="1"/>
    <col min="21" max="21" width="12.5" style="3" customWidth="1"/>
    <col min="22" max="22" width="1.1640625" style="3" customWidth="1"/>
    <col min="23" max="23" width="11.1640625" customWidth="1"/>
    <col min="24" max="24" width="1.1640625" customWidth="1"/>
    <col min="25" max="25" width="12.5" customWidth="1"/>
    <col min="26" max="26" width="0.83203125" customWidth="1"/>
    <col min="27" max="27" width="13.5" customWidth="1"/>
    <col min="28" max="28" width="0.83203125" customWidth="1"/>
    <col min="29" max="29" width="14.1640625" customWidth="1"/>
    <col min="30" max="30" width="0.5" customWidth="1"/>
    <col min="31" max="31" width="14.5" customWidth="1"/>
    <col min="32" max="32" width="0.83203125" customWidth="1"/>
    <col min="33" max="33" width="14.83203125" customWidth="1"/>
    <col min="34" max="34" width="0.83203125" customWidth="1"/>
    <col min="35" max="35" width="13.83203125" customWidth="1"/>
    <col min="36" max="36" width="1.5" customWidth="1"/>
    <col min="37" max="37" width="25.1640625" customWidth="1"/>
    <col min="38" max="38" width="1.5" customWidth="1"/>
    <col min="39" max="39" width="14.5" customWidth="1"/>
    <col min="40" max="40" width="1.83203125" customWidth="1"/>
    <col min="41" max="41" width="9.83203125" customWidth="1"/>
    <col min="42" max="42" width="20" customWidth="1"/>
    <col min="43" max="43" width="13.83203125" customWidth="1"/>
    <col min="45" max="45" width="54.83203125" customWidth="1"/>
    <col min="2000" max="2001" width="2.5" customWidth="1"/>
    <col min="2003" max="2003" width="2.5" customWidth="1"/>
    <col min="2024" max="2024" width="2.5" customWidth="1"/>
    <col min="2029" max="2029" width="2.5" customWidth="1"/>
  </cols>
  <sheetData>
    <row r="1" spans="1:45" x14ac:dyDescent="0.2">
      <c r="B1" s="272"/>
      <c r="E1" s="144"/>
    </row>
    <row r="2" spans="1:45" s="270" customFormat="1" ht="38.5" customHeight="1" x14ac:dyDescent="0.2">
      <c r="A2" s="146"/>
      <c r="B2" s="279" t="s">
        <v>1006</v>
      </c>
      <c r="C2" s="146"/>
      <c r="D2" s="146"/>
      <c r="E2" s="270" t="s">
        <v>957</v>
      </c>
      <c r="F2" s="146"/>
      <c r="G2" s="270" t="s">
        <v>1007</v>
      </c>
      <c r="H2" s="146"/>
      <c r="I2" s="270" t="s">
        <v>1008</v>
      </c>
      <c r="J2" s="146"/>
      <c r="K2" s="270" t="s">
        <v>1009</v>
      </c>
      <c r="L2" s="146"/>
      <c r="M2" s="146"/>
      <c r="N2" s="270" t="s">
        <v>1010</v>
      </c>
      <c r="O2" s="146"/>
      <c r="P2" s="270" t="s">
        <v>1011</v>
      </c>
      <c r="Q2" s="146"/>
      <c r="R2" s="270" t="s">
        <v>1012</v>
      </c>
      <c r="S2" s="146"/>
      <c r="T2" s="146"/>
      <c r="U2" s="146"/>
      <c r="V2" s="146"/>
      <c r="W2" s="270" t="s">
        <v>958</v>
      </c>
      <c r="X2" s="146"/>
      <c r="Y2" s="270" t="s">
        <v>980</v>
      </c>
      <c r="Z2" s="146"/>
      <c r="AA2" s="270" t="s">
        <v>981</v>
      </c>
      <c r="AB2" s="146"/>
      <c r="AC2" s="270" t="s">
        <v>982</v>
      </c>
      <c r="AD2" s="146"/>
      <c r="AE2" s="270" t="s">
        <v>1239</v>
      </c>
      <c r="AF2" s="146"/>
      <c r="AG2" s="270" t="s">
        <v>1238</v>
      </c>
      <c r="AH2" s="146"/>
      <c r="AI2" s="393"/>
      <c r="AJ2" s="146"/>
      <c r="AK2" s="146"/>
      <c r="AL2" s="146"/>
      <c r="AM2" s="146"/>
      <c r="AN2" s="146"/>
      <c r="AO2" s="146"/>
      <c r="AP2" s="146"/>
      <c r="AQ2" s="270" t="s">
        <v>865</v>
      </c>
    </row>
    <row r="3" spans="1:45" s="276" customFormat="1" ht="10" customHeight="1" x14ac:dyDescent="0.2">
      <c r="B3" s="146"/>
      <c r="E3" s="146"/>
      <c r="F3" s="146"/>
      <c r="G3" s="146"/>
      <c r="K3" s="146"/>
      <c r="M3" s="146"/>
      <c r="N3" s="146"/>
      <c r="O3" s="146"/>
      <c r="P3" s="146"/>
      <c r="Q3" s="146"/>
      <c r="R3" s="146"/>
      <c r="S3" s="146"/>
      <c r="T3" s="559" t="s">
        <v>1314</v>
      </c>
      <c r="U3" s="146"/>
      <c r="V3" s="146"/>
      <c r="W3" s="146"/>
      <c r="X3" s="146"/>
      <c r="AA3" s="146"/>
      <c r="AE3" s="146"/>
      <c r="AF3" s="146"/>
      <c r="AG3" s="146"/>
      <c r="AI3" s="393"/>
    </row>
    <row r="4" spans="1:45" ht="16.5" customHeight="1" x14ac:dyDescent="0.2">
      <c r="B4" s="501" t="s">
        <v>826</v>
      </c>
      <c r="C4" s="501"/>
      <c r="D4" s="502"/>
      <c r="E4" s="502">
        <f>stemi_size*prop_ac_st*(1-prob_mi_ac-prob_stk_ac-prob_dead_ac)</f>
        <v>180.64135432887025</v>
      </c>
      <c r="F4" s="502"/>
      <c r="G4" s="503">
        <f>prop_ac_st*(1-prob_mi_ac-prob_stk_ac-prob_dead_ac)</f>
        <v>0.18064135432887027</v>
      </c>
      <c r="H4" s="502"/>
      <c r="I4" s="502">
        <f>(ld_clop_600 + ((day_cost_asa + day_cost_clop)*md_328_day))</f>
        <v>21.754285714285718</v>
      </c>
      <c r="J4" s="502"/>
      <c r="K4" s="502">
        <f>((c_pci)+(c_drug_ac_noevent_st)+(c_bleed_ac)+(c_dys_ac)+(c_noevent_tree))</f>
        <v>5219.821082797127</v>
      </c>
      <c r="L4" s="502"/>
      <c r="M4" s="502"/>
      <c r="N4" s="502">
        <f>G4*K4</f>
        <v>942.91554975086308</v>
      </c>
      <c r="O4" s="502"/>
      <c r="P4" s="503">
        <f>u_noevent_tree - u_dec_bleed_ac -u_dec_dys_ac</f>
        <v>0.68581227195410954</v>
      </c>
      <c r="Q4" s="503"/>
      <c r="R4" s="503">
        <f t="shared" ref="R4:R15" si="0">G4*P4</f>
        <v>0.12388605762114983</v>
      </c>
      <c r="S4" s="269"/>
      <c r="T4" s="392" t="s">
        <v>1214</v>
      </c>
      <c r="U4" s="277">
        <f>G4+G8+G12</f>
        <v>0.84528395780831422</v>
      </c>
      <c r="V4" s="269"/>
      <c r="W4" s="271">
        <f>N4+N5+N6+N7+N8+N9+N10+N11+N12+N13+N14+N15</f>
        <v>6022.961901669194</v>
      </c>
      <c r="X4" s="284"/>
      <c r="Y4" s="271">
        <f>SUM(N17:N30)</f>
        <v>5931.5948045913383</v>
      </c>
      <c r="AA4" s="401">
        <f>SUM(R4:R15)</f>
        <v>0.65391909812104365</v>
      </c>
      <c r="AB4" s="278"/>
      <c r="AC4" s="401">
        <f>SUM(R17:R30)</f>
        <v>0.65627206469176069</v>
      </c>
      <c r="AD4" s="269"/>
      <c r="AE4" s="271">
        <f>c_poc_tree-c_st_tree</f>
        <v>-91.36709707785576</v>
      </c>
      <c r="AF4" s="284"/>
      <c r="AG4" s="401">
        <f>qaly_poc_tree-qaly_st_tree</f>
        <v>2.3529665707170411E-3</v>
      </c>
      <c r="AH4" s="269"/>
      <c r="AI4" s="284"/>
      <c r="AJ4" s="269"/>
      <c r="AN4" s="269"/>
      <c r="AO4" s="269"/>
      <c r="AP4" s="269"/>
      <c r="AQ4" t="s">
        <v>864</v>
      </c>
      <c r="AR4" s="52" t="s">
        <v>961</v>
      </c>
    </row>
    <row r="5" spans="1:45" x14ac:dyDescent="0.2">
      <c r="B5" s="501" t="s">
        <v>850</v>
      </c>
      <c r="C5" s="501"/>
      <c r="D5" s="504"/>
      <c r="E5" s="504">
        <f>stemi_size*prop_ac_st*prob_mi_ac</f>
        <v>14.3445</v>
      </c>
      <c r="F5" s="504"/>
      <c r="G5" s="503">
        <f>prop_ac_st*prob_mi_ac</f>
        <v>1.4344500000000001E-2</v>
      </c>
      <c r="H5" s="504"/>
      <c r="I5" s="504">
        <f>(ld_clop_600 + ((day_cost_asa + day_cost_clop)*md_365_day))</f>
        <v>24.172500000000003</v>
      </c>
      <c r="J5" s="504"/>
      <c r="K5" s="502">
        <f>((c_pci)+(c_drug_ac_mi_st)+(c_bleed_ac)+(c_dys_ac)+(c_mi_tree))</f>
        <v>10016.948383037807</v>
      </c>
      <c r="L5" s="502"/>
      <c r="M5" s="502"/>
      <c r="N5" s="502">
        <f t="shared" ref="N5:N7" si="1">G5*K5</f>
        <v>143.68811608048583</v>
      </c>
      <c r="O5" s="502"/>
      <c r="P5" s="503">
        <f>((u_noevent_tree*0.5)+(u_rinfar_tree*0.5 ))- u_dec_bleed_ac -u_dec_dys_ac</f>
        <v>0.65837599961660964</v>
      </c>
      <c r="Q5" s="503"/>
      <c r="R5" s="503">
        <f t="shared" si="0"/>
        <v>9.444074526500458E-3</v>
      </c>
      <c r="S5" s="269"/>
      <c r="T5" s="392" t="s">
        <v>1215</v>
      </c>
      <c r="U5" s="277">
        <f>G5+G9+G13</f>
        <v>5.5783043635717483E-2</v>
      </c>
      <c r="V5" s="269"/>
      <c r="Y5" s="271">
        <f>SUM(N17:N28)/U21</f>
        <v>5907.9143851032823</v>
      </c>
      <c r="AA5" s="278"/>
      <c r="AB5" s="269"/>
      <c r="AC5" s="401">
        <f>SUM(R17:R28)/U21</f>
        <v>0.65663960519783515</v>
      </c>
      <c r="AD5" s="269"/>
      <c r="AH5" s="269"/>
      <c r="AJ5" s="269"/>
      <c r="AN5" s="269"/>
      <c r="AO5" s="269"/>
      <c r="AP5" s="269"/>
      <c r="AQ5" s="250"/>
      <c r="AR5" s="52" t="s">
        <v>961</v>
      </c>
    </row>
    <row r="6" spans="1:45" x14ac:dyDescent="0.2">
      <c r="B6" s="501" t="s">
        <v>827</v>
      </c>
      <c r="C6" s="501"/>
      <c r="D6" s="504"/>
      <c r="E6" s="504">
        <f>stemi_size*prop_ac_st*prob_stk_ac</f>
        <v>2.7155999999999998</v>
      </c>
      <c r="F6" s="504"/>
      <c r="G6" s="503">
        <f>prop_ac_st*prob_stk_ac</f>
        <v>2.7155999999999999E-3</v>
      </c>
      <c r="H6" s="504"/>
      <c r="I6" s="504">
        <f>(ld_clop_600 + ((day_cost_asa + day_cost_clop)*md_365_day))</f>
        <v>24.172500000000003</v>
      </c>
      <c r="J6" s="504"/>
      <c r="K6" s="502">
        <f>((c_pci)+(c_drug_ac_stk_st)+(c_bleed_ac)+(c_dys_ac)+(c_stk_tree))</f>
        <v>21794.777353353791</v>
      </c>
      <c r="L6" s="502"/>
      <c r="M6" s="502"/>
      <c r="N6" s="502">
        <f t="shared" si="1"/>
        <v>59.18589738076755</v>
      </c>
      <c r="O6" s="502"/>
      <c r="P6" s="503">
        <f>((u_noevent_tree*0.5)+(u_stk_tree*0.5)) - u_dec_bleed_ac-u_dec_dys_ac</f>
        <v>0.62757634886660951</v>
      </c>
      <c r="Q6" s="503"/>
      <c r="R6" s="503">
        <f t="shared" si="0"/>
        <v>1.7042463329821648E-3</v>
      </c>
      <c r="S6" s="269"/>
      <c r="T6" s="392" t="s">
        <v>1216</v>
      </c>
      <c r="U6" s="277">
        <f>G6+G10+G14</f>
        <v>1.3080898082621447E-2</v>
      </c>
      <c r="V6" s="269"/>
      <c r="AC6" s="111"/>
      <c r="AJ6" s="269"/>
      <c r="AM6" s="281"/>
      <c r="AN6" s="276"/>
      <c r="AO6" s="281"/>
      <c r="AP6" s="269"/>
      <c r="AQ6" s="250"/>
      <c r="AR6" s="52" t="s">
        <v>962</v>
      </c>
    </row>
    <row r="7" spans="1:45" x14ac:dyDescent="0.2">
      <c r="B7" s="501" t="s">
        <v>828</v>
      </c>
      <c r="C7" s="501"/>
      <c r="D7" s="504"/>
      <c r="E7" s="504">
        <f>stemi_size*prop_ac_st*prob_dead_ac</f>
        <v>21.298545671129745</v>
      </c>
      <c r="F7" s="504"/>
      <c r="G7" s="503">
        <f>prop_ac_st*prob_dead_ac</f>
        <v>2.1298545671129744E-2</v>
      </c>
      <c r="H7" s="504"/>
      <c r="I7" s="504">
        <f>(ld_clop_600 + ((day_cost_asa + day_cost_clop)*md_halfway))</f>
        <v>12.244821428571429</v>
      </c>
      <c r="J7" s="504"/>
      <c r="K7" s="502">
        <f>((c_pci)+(c_drug_ac_dead_st)+(c_bleed_ac)+(c_dys_ac)+(c_dead_tree))</f>
        <v>4633.5780077645359</v>
      </c>
      <c r="L7" s="502"/>
      <c r="M7" s="502"/>
      <c r="N7" s="502">
        <f t="shared" si="1"/>
        <v>98.688472819115333</v>
      </c>
      <c r="O7" s="502"/>
      <c r="P7" s="503">
        <f>(u_noevent_tree*0.5)- u_dec_bleed_ac-u_dec_dys_ac</f>
        <v>0.34267957942910959</v>
      </c>
      <c r="Q7" s="503"/>
      <c r="R7" s="503">
        <f t="shared" si="0"/>
        <v>7.2985766730344235E-3</v>
      </c>
      <c r="S7" s="269"/>
      <c r="T7" s="392" t="s">
        <v>1217</v>
      </c>
      <c r="U7" s="277">
        <f>G7+G11+G15</f>
        <v>8.5852100473346848E-2</v>
      </c>
      <c r="V7" s="269"/>
      <c r="W7" s="276"/>
      <c r="X7" s="276"/>
      <c r="Y7" s="276"/>
      <c r="Z7" s="276"/>
      <c r="AA7" s="276"/>
      <c r="AB7" s="276"/>
      <c r="AC7" s="276"/>
      <c r="AD7" s="276"/>
      <c r="AE7" s="276"/>
      <c r="AF7" s="276"/>
      <c r="AG7" s="276"/>
      <c r="AH7" s="276"/>
      <c r="AI7" s="276"/>
      <c r="AJ7" s="276"/>
      <c r="AK7" s="276"/>
      <c r="AL7" s="276"/>
      <c r="AM7" s="276"/>
      <c r="AN7" s="269"/>
      <c r="AO7" s="281"/>
      <c r="AP7" s="269"/>
      <c r="AQ7" s="250"/>
      <c r="AR7" s="52" t="s">
        <v>960</v>
      </c>
    </row>
    <row r="8" spans="1:45" ht="14.5" customHeight="1" x14ac:dyDescent="0.2">
      <c r="B8" s="505" t="s">
        <v>838</v>
      </c>
      <c r="C8" s="505"/>
      <c r="D8" s="506"/>
      <c r="E8" s="507">
        <f>stemi_size*prop_at_st*(1-prob_mi_at-prob_stk_at-prob_dead_at)</f>
        <v>471.99371202072871</v>
      </c>
      <c r="F8" s="508"/>
      <c r="G8" s="509">
        <f>prop_at_st*(1-prob_mi_at-prob_stk_at-prob_dead_at)</f>
        <v>0.47199371202072876</v>
      </c>
      <c r="H8" s="508"/>
      <c r="I8" s="508">
        <f>(ld_tica_180 + ((day_cost_asa + day_cost_tica)*md_328_day))</f>
        <v>649.99428571428575</v>
      </c>
      <c r="J8" s="508"/>
      <c r="K8" s="508">
        <f>((c_pci)+(c_drug_at_noevent_st)+(c_bleed_at)+(c_dys_at)+(c_noevent_tree))</f>
        <v>5856.9085169120781</v>
      </c>
      <c r="L8" s="507"/>
      <c r="M8" s="507"/>
      <c r="N8" s="507">
        <f t="shared" ref="N8:N15" si="2">G8*K8</f>
        <v>2764.4239918631529</v>
      </c>
      <c r="O8" s="507"/>
      <c r="P8" s="509">
        <f>u_noevent_tree - u_dec_bleed_at-u_dec_dys_at</f>
        <v>0.68558544952641598</v>
      </c>
      <c r="Q8" s="509"/>
      <c r="R8" s="509">
        <f t="shared" si="0"/>
        <v>0.32359202122937308</v>
      </c>
      <c r="S8" s="269"/>
      <c r="T8" s="500"/>
      <c r="U8" s="144"/>
      <c r="V8" s="165"/>
      <c r="Z8" s="276"/>
      <c r="AA8" s="276"/>
      <c r="AB8" s="276"/>
      <c r="AC8" s="276"/>
      <c r="AD8" s="276"/>
      <c r="AE8" s="276"/>
      <c r="AF8" s="276"/>
      <c r="AG8" s="276"/>
      <c r="AH8" s="276"/>
      <c r="AI8" s="276"/>
      <c r="AJ8" s="276"/>
      <c r="AK8" s="276"/>
      <c r="AL8" s="276"/>
      <c r="AM8" s="276"/>
      <c r="AN8" s="269"/>
      <c r="AO8" s="282"/>
      <c r="AP8" s="265"/>
      <c r="AR8" s="52" t="s">
        <v>963</v>
      </c>
    </row>
    <row r="9" spans="1:45" x14ac:dyDescent="0.2">
      <c r="B9" s="505" t="s">
        <v>849</v>
      </c>
      <c r="C9" s="505"/>
      <c r="D9" s="508"/>
      <c r="E9" s="508">
        <f>stemi_size*prop_at_st*prob_mi_at</f>
        <v>30.00163932767326</v>
      </c>
      <c r="F9" s="508"/>
      <c r="G9" s="509">
        <f>prop_at_st*prob_mi_at</f>
        <v>3.0001639327673264E-2</v>
      </c>
      <c r="H9" s="508"/>
      <c r="I9" s="508">
        <f>(ld_tica_180 + ((day_cost_asa + day_cost_tica)*md_365_day))</f>
        <v>723.09571428571439</v>
      </c>
      <c r="J9" s="508"/>
      <c r="K9" s="508">
        <f>((c_pci)+(c_drug_at_mi_st)+(c_bleed_at)+(c_dys_at)+(c_mi_tree))</f>
        <v>10724.719031438472</v>
      </c>
      <c r="L9" s="507"/>
      <c r="M9" s="507"/>
      <c r="N9" s="507">
        <f t="shared" si="2"/>
        <v>321.75915227185038</v>
      </c>
      <c r="O9" s="507"/>
      <c r="P9" s="509">
        <f>((u_noevent_tree*0.5)+(u_rinfar_tree*0.5 ))- u_dec_bleed_at-u_dec_dys_at</f>
        <v>0.65814917718891608</v>
      </c>
      <c r="Q9" s="509"/>
      <c r="R9" s="509">
        <f t="shared" si="0"/>
        <v>1.9745554237826785E-2</v>
      </c>
      <c r="S9" s="269"/>
      <c r="T9" s="187"/>
      <c r="U9" s="144"/>
      <c r="V9" s="165"/>
      <c r="Z9" s="276"/>
      <c r="AA9" s="276"/>
      <c r="AB9" s="276"/>
      <c r="AC9" s="276"/>
      <c r="AD9" s="276"/>
      <c r="AE9" s="276"/>
      <c r="AF9" s="276"/>
      <c r="AG9" s="276"/>
      <c r="AH9" s="276"/>
      <c r="AI9" s="276"/>
      <c r="AJ9" s="276"/>
      <c r="AK9" s="276"/>
      <c r="AL9" s="276"/>
      <c r="AM9" s="276"/>
      <c r="AN9" s="269"/>
      <c r="AO9" s="283"/>
      <c r="AP9" s="144"/>
      <c r="AR9" s="52" t="s">
        <v>964</v>
      </c>
    </row>
    <row r="10" spans="1:45" x14ac:dyDescent="0.2">
      <c r="B10" s="505" t="s">
        <v>839</v>
      </c>
      <c r="C10" s="505"/>
      <c r="D10" s="508"/>
      <c r="E10" s="508">
        <f>stemi_size*prop_at_st*prob_stk_at</f>
        <v>7.7221758525257256</v>
      </c>
      <c r="F10" s="508"/>
      <c r="G10" s="509">
        <f>prop_at_st*prob_stk_at</f>
        <v>7.7221758525257258E-3</v>
      </c>
      <c r="H10" s="508"/>
      <c r="I10" s="508">
        <f>(ld_tica_180 + ((day_cost_asa + day_cost_tica)*md_365_day))</f>
        <v>723.09571428571439</v>
      </c>
      <c r="J10" s="508"/>
      <c r="K10" s="508">
        <f>((c_pci)+(c_drug_at_stk_st)+(c_bleed_at)+(c_dys_at)+(c_stk_tree))</f>
        <v>22502.548001754458</v>
      </c>
      <c r="L10" s="507"/>
      <c r="M10" s="507"/>
      <c r="N10" s="507">
        <f t="shared" si="2"/>
        <v>173.76863279944931</v>
      </c>
      <c r="O10" s="507"/>
      <c r="P10" s="509">
        <f>((u_noevent_tree*0.5)+(u_stk_tree*0.5)) - u_dec_bleed_at-u_dec_dys_at</f>
        <v>0.62734952643891595</v>
      </c>
      <c r="Q10" s="509"/>
      <c r="R10" s="509">
        <f t="shared" si="0"/>
        <v>4.8445033641600459E-3</v>
      </c>
      <c r="S10" s="269"/>
      <c r="U10" s="144"/>
      <c r="V10" s="165"/>
      <c r="Z10" s="276"/>
      <c r="AA10" s="276"/>
      <c r="AB10" s="276"/>
      <c r="AC10" s="276"/>
      <c r="AD10" s="276"/>
      <c r="AE10" s="276"/>
      <c r="AF10" s="276"/>
      <c r="AG10" s="276"/>
      <c r="AH10" s="276"/>
      <c r="AI10" s="276"/>
      <c r="AJ10" s="276"/>
      <c r="AK10" s="276"/>
      <c r="AL10" s="276"/>
      <c r="AM10" s="276"/>
      <c r="AN10" s="269"/>
      <c r="AO10" s="283"/>
      <c r="AP10" s="144"/>
      <c r="AR10" s="52" t="s">
        <v>965</v>
      </c>
    </row>
    <row r="11" spans="1:45" x14ac:dyDescent="0.2">
      <c r="B11" s="505" t="s">
        <v>840</v>
      </c>
      <c r="C11" s="505"/>
      <c r="D11" s="508"/>
      <c r="E11" s="508">
        <f>stemi_size*prop_at_st*prob_dead_at</f>
        <v>42.282472799072302</v>
      </c>
      <c r="F11" s="508"/>
      <c r="G11" s="509">
        <f>prop_at_st*prob_dead_at</f>
        <v>4.2282472799072303E-2</v>
      </c>
      <c r="H11" s="508"/>
      <c r="I11" s="508">
        <f>(ld_tica_180 + ((day_cost_asa + day_cost_tica)*md_halfway))</f>
        <v>362.52785714285716</v>
      </c>
      <c r="J11" s="508"/>
      <c r="K11" s="508">
        <f>((c_pci)+(c_drug_at_dead_st)+(c_bleed_at)+(c_dys_at)+(c_dead_tree))</f>
        <v>4992.7084775937728</v>
      </c>
      <c r="L11" s="507"/>
      <c r="M11" s="507"/>
      <c r="N11" s="507">
        <f t="shared" si="2"/>
        <v>211.1040603975564</v>
      </c>
      <c r="O11" s="507"/>
      <c r="P11" s="509">
        <f>(u_noevent_tree*0.5)- u_dec_bleed_at-u_dec_dys_at</f>
        <v>0.34245275700141597</v>
      </c>
      <c r="Q11" s="509"/>
      <c r="R11" s="509">
        <f t="shared" si="0"/>
        <v>1.4479749382879688E-2</v>
      </c>
      <c r="S11" s="269"/>
      <c r="T11" s="105"/>
      <c r="U11" s="144"/>
      <c r="V11" s="165"/>
      <c r="Y11" s="276"/>
      <c r="Z11" s="276"/>
      <c r="AA11" s="276"/>
      <c r="AB11" s="276"/>
      <c r="AC11" s="276"/>
      <c r="AD11" s="276"/>
      <c r="AE11" s="276"/>
      <c r="AF11" s="276"/>
      <c r="AG11" s="276"/>
      <c r="AH11" s="276"/>
      <c r="AI11" s="276"/>
      <c r="AJ11" s="276"/>
      <c r="AK11" s="276"/>
      <c r="AL11" s="276"/>
      <c r="AM11" s="276"/>
      <c r="AN11" s="144"/>
      <c r="AO11" s="283"/>
      <c r="AP11" s="144"/>
      <c r="AR11" s="52" t="s">
        <v>964</v>
      </c>
    </row>
    <row r="12" spans="1:45" ht="12" customHeight="1" x14ac:dyDescent="0.2">
      <c r="B12" s="510" t="s">
        <v>841</v>
      </c>
      <c r="C12" s="510"/>
      <c r="D12" s="511"/>
      <c r="E12" s="512">
        <f>stemi_size*prop_ap_st*(1-prob_mi_ap-prob_stk_ap-prob_dead_ap)</f>
        <v>192.64889145871527</v>
      </c>
      <c r="F12" s="512"/>
      <c r="G12" s="513">
        <f>prop_ap_st*(1-prob_mi_ap-prob_stk_ap-prob_dead_ap)</f>
        <v>0.19264889145871528</v>
      </c>
      <c r="H12" s="512"/>
      <c r="I12" s="512">
        <f>(ld_pras_60 + ((day_cost_asa + day_cost_pras)*md_328_day))</f>
        <v>106.09857142857143</v>
      </c>
      <c r="J12" s="512"/>
      <c r="K12" s="512">
        <f>((c_pci)+(c_drug_ap_noevent_st)+(c_bleed_ap)+(c_dys_ap)+(c_noevent_tree))</f>
        <v>5338.4288220210765</v>
      </c>
      <c r="L12" s="514"/>
      <c r="M12" s="514"/>
      <c r="N12" s="514">
        <f t="shared" si="2"/>
        <v>1028.4423946936156</v>
      </c>
      <c r="O12" s="514"/>
      <c r="P12" s="513">
        <f>u_noevent_tree - u_dec_bleed_ap-u_dec_dys_ap</f>
        <v>0.68573782432540387</v>
      </c>
      <c r="Q12" s="513"/>
      <c r="R12" s="513">
        <f t="shared" si="0"/>
        <v>0.13210663168760028</v>
      </c>
      <c r="S12" s="269"/>
      <c r="T12" s="269"/>
      <c r="U12" s="269"/>
      <c r="V12" s="269"/>
      <c r="X12" s="276"/>
      <c r="Y12" s="276"/>
      <c r="Z12" s="276"/>
      <c r="AA12" s="276"/>
      <c r="AB12" s="276"/>
      <c r="AC12" s="276"/>
      <c r="AD12" s="276"/>
      <c r="AE12" s="276"/>
      <c r="AF12" s="276"/>
      <c r="AG12" s="276"/>
      <c r="AH12" s="276"/>
      <c r="AI12" s="276"/>
      <c r="AJ12" s="276"/>
      <c r="AK12" s="276"/>
      <c r="AL12" s="276"/>
      <c r="AM12" s="276"/>
      <c r="AN12" s="265"/>
      <c r="AO12" s="265"/>
      <c r="AP12" s="265"/>
      <c r="AR12" s="52" t="s">
        <v>967</v>
      </c>
      <c r="AS12" s="265" t="s">
        <v>862</v>
      </c>
    </row>
    <row r="13" spans="1:45" x14ac:dyDescent="0.2">
      <c r="B13" s="510" t="s">
        <v>848</v>
      </c>
      <c r="C13" s="510"/>
      <c r="D13" s="512"/>
      <c r="E13" s="512">
        <f>stemi_size*prop_ap_st*prob_mi_ap</f>
        <v>11.436904308044223</v>
      </c>
      <c r="F13" s="512"/>
      <c r="G13" s="513">
        <f>prop_ap_st*prob_mi_ap</f>
        <v>1.1436904308044223E-2</v>
      </c>
      <c r="H13" s="512"/>
      <c r="I13" s="512">
        <f>(ld_pras_60 + ((day_cost_asa + day_cost_pras)*md_365_day))</f>
        <v>117.90223214285714</v>
      </c>
      <c r="J13" s="512"/>
      <c r="K13" s="512">
        <f>((c_pci)+(c_drug_ap_mi_st)+(c_bleed_ap)+(c_dys_ap)+(c_mi_tree))</f>
        <v>10144.941568690328</v>
      </c>
      <c r="L13" s="514"/>
      <c r="M13" s="514"/>
      <c r="N13" s="514">
        <f t="shared" si="2"/>
        <v>116.02672593181134</v>
      </c>
      <c r="O13" s="514"/>
      <c r="P13" s="513">
        <f>((u_noevent_tree*0.5)+(u_rinfar_tree*0.5 ))- u_dec_bleed_ap-u_dec_dys_ap</f>
        <v>0.65830155198790397</v>
      </c>
      <c r="Q13" s="513"/>
      <c r="R13" s="513">
        <f t="shared" si="0"/>
        <v>7.5289318559226574E-3</v>
      </c>
      <c r="S13" s="269"/>
      <c r="T13" s="269"/>
      <c r="U13" s="269"/>
      <c r="V13" s="269"/>
      <c r="X13" s="276"/>
      <c r="Y13" s="276"/>
      <c r="Z13" s="276"/>
      <c r="AA13" s="276"/>
      <c r="AB13" s="276"/>
      <c r="AC13" s="276"/>
      <c r="AD13" s="276"/>
      <c r="AE13" s="276"/>
      <c r="AF13" s="276"/>
      <c r="AG13" s="276"/>
      <c r="AH13" s="276"/>
      <c r="AI13" s="276"/>
      <c r="AJ13" s="276"/>
      <c r="AK13" s="276"/>
      <c r="AL13" s="276"/>
      <c r="AM13" s="276"/>
      <c r="AN13" s="144"/>
      <c r="AO13" s="144"/>
      <c r="AP13" s="144"/>
      <c r="AR13" s="52" t="s">
        <v>966</v>
      </c>
    </row>
    <row r="14" spans="1:45" x14ac:dyDescent="0.2">
      <c r="B14" s="510" t="s">
        <v>842</v>
      </c>
      <c r="C14" s="510"/>
      <c r="D14" s="512"/>
      <c r="E14" s="512">
        <f>stemi_size*prop_ap_st*prob_stk_ap</f>
        <v>2.643122230095722</v>
      </c>
      <c r="F14" s="512"/>
      <c r="G14" s="513">
        <f>prop_ap_st*prob_stk_ap</f>
        <v>2.6431222300957219E-3</v>
      </c>
      <c r="H14" s="512"/>
      <c r="I14" s="512">
        <f>(ld_pras_60 + ((day_cost_asa + day_cost_pras)*md_365_day))</f>
        <v>117.90223214285714</v>
      </c>
      <c r="J14" s="512"/>
      <c r="K14" s="512">
        <f>((c_pci)+(c_drug_ap_stk_st)+(c_bleed_ap)+(c_dys_ap)+(c_stk_tree))</f>
        <v>21922.770539006313</v>
      </c>
      <c r="L14" s="514"/>
      <c r="M14" s="514"/>
      <c r="N14" s="514">
        <f t="shared" si="2"/>
        <v>57.944562156935156</v>
      </c>
      <c r="O14" s="514"/>
      <c r="P14" s="513">
        <f>((u_noevent_tree*0.5)+(u_stk_tree*0.5)) - u_dec_bleed_ap-u_dec_dys_ap</f>
        <v>0.62750190123790384</v>
      </c>
      <c r="Q14" s="513"/>
      <c r="R14" s="513">
        <f t="shared" si="0"/>
        <v>1.6585642245892339E-3</v>
      </c>
      <c r="S14" s="269"/>
      <c r="T14" s="269"/>
      <c r="U14" s="269"/>
      <c r="V14" s="269"/>
      <c r="AA14" s="144"/>
      <c r="AB14" s="144"/>
      <c r="AF14" s="144"/>
      <c r="AG14" s="144"/>
      <c r="AH14" s="144"/>
      <c r="AI14" s="278"/>
      <c r="AJ14" s="144"/>
      <c r="AK14" s="165"/>
      <c r="AL14" s="144"/>
      <c r="AM14" s="144"/>
      <c r="AN14" s="144"/>
      <c r="AO14" s="144"/>
      <c r="AP14" s="144"/>
      <c r="AR14" s="52" t="s">
        <v>966</v>
      </c>
    </row>
    <row r="15" spans="1:45" x14ac:dyDescent="0.2">
      <c r="B15" s="510" t="s">
        <v>843</v>
      </c>
      <c r="C15" s="510"/>
      <c r="D15" s="512"/>
      <c r="E15" s="512">
        <f>stemi_size*prop_ap_st*prob_dead_ap</f>
        <v>22.271082003144794</v>
      </c>
      <c r="F15" s="512"/>
      <c r="G15" s="513">
        <f>prop_ap_st*prob_dead_ap</f>
        <v>2.2271082003144795E-2</v>
      </c>
      <c r="H15" s="512"/>
      <c r="I15" s="512">
        <f>(ld_pras_60 + ((day_cost_asa + day_cost_pras)*md_halfway))</f>
        <v>59.681473214285717</v>
      </c>
      <c r="J15" s="512"/>
      <c r="K15" s="512">
        <f>((c_pci)+(c_drug_ap_dead_st)+(c_bleed_ap)+(c_dys_ap)+(c_dead_tree))</f>
        <v>4715.2781130599142</v>
      </c>
      <c r="L15" s="514"/>
      <c r="M15" s="514"/>
      <c r="N15" s="514">
        <f t="shared" si="2"/>
        <v>105.0143455235912</v>
      </c>
      <c r="O15" s="514"/>
      <c r="P15" s="513">
        <f>(u_noevent_tree*0.5)- u_dec_bleed_ap-u_dec_dys_ap</f>
        <v>0.34260513180040386</v>
      </c>
      <c r="Q15" s="513"/>
      <c r="R15" s="513">
        <f t="shared" si="0"/>
        <v>7.6301869850250248E-3</v>
      </c>
      <c r="S15" s="269"/>
      <c r="T15" s="269"/>
      <c r="U15" s="269"/>
      <c r="V15" s="269"/>
      <c r="AA15" s="144"/>
      <c r="AB15" s="144"/>
      <c r="AF15" s="144"/>
      <c r="AG15" s="144"/>
      <c r="AH15" s="144"/>
      <c r="AI15" s="144"/>
      <c r="AJ15" s="144"/>
      <c r="AK15" s="144"/>
      <c r="AL15" s="144"/>
      <c r="AM15" s="269"/>
      <c r="AO15" s="144"/>
      <c r="AP15" s="144"/>
      <c r="AR15" s="52" t="s">
        <v>968</v>
      </c>
    </row>
    <row r="16" spans="1:45" ht="8.25" customHeight="1" x14ac:dyDescent="0.2">
      <c r="E16" s="144"/>
      <c r="F16" s="144"/>
      <c r="G16" s="144"/>
      <c r="H16" s="144"/>
      <c r="M16" s="144"/>
      <c r="N16" s="144"/>
      <c r="O16" s="144"/>
      <c r="P16" s="165"/>
      <c r="Q16" s="165"/>
      <c r="R16" s="165"/>
      <c r="S16" s="144"/>
      <c r="T16" s="144" t="s">
        <v>1315</v>
      </c>
      <c r="U16" s="144"/>
      <c r="V16" s="144"/>
      <c r="Z16" s="144"/>
      <c r="AM16" s="269"/>
      <c r="AN16" s="269"/>
      <c r="AR16" s="52"/>
    </row>
    <row r="17" spans="2:44" ht="15" customHeight="1" x14ac:dyDescent="0.2">
      <c r="B17" s="515" t="s">
        <v>846</v>
      </c>
      <c r="C17" s="49"/>
      <c r="D17" s="516"/>
      <c r="E17" s="517">
        <f>stemi_size*prob_test_order*prob_test_follow*prev_lof_base*prop_at_lof*(1-prob_mi_at-prob_stk_at-prob_dead_at)</f>
        <v>155.24139100312203</v>
      </c>
      <c r="F17" s="517"/>
      <c r="G17" s="518">
        <f>prob_test_order*prob_test_follow*prev_lof_base*prop_at_lof*(1-prob_mi_at-prob_stk_at-prob_dead_at)</f>
        <v>0.15524139100312204</v>
      </c>
      <c r="H17" s="519"/>
      <c r="I17" s="517">
        <f>ld_tica_180+((day_cost_asa + day_cost_tica)*md_328_day)</f>
        <v>649.99428571428575</v>
      </c>
      <c r="J17" s="517"/>
      <c r="K17" s="517">
        <f>c_poc_test + c_pci +c_drug_at_noevent_pc+ c_bleed_at+c_dys_at+c_noevent_tree</f>
        <v>5981.9085169120781</v>
      </c>
      <c r="L17" s="520"/>
      <c r="M17" s="519"/>
      <c r="N17" s="517">
        <f t="shared" ref="N17:N30" si="3">G17*K17</f>
        <v>928.63979901885375</v>
      </c>
      <c r="O17" s="517"/>
      <c r="P17" s="521">
        <f>u_noevent_tree - u_dec_bleed_at-u_dec_dys_at</f>
        <v>0.68558544952641598</v>
      </c>
      <c r="Q17" s="521"/>
      <c r="R17" s="521">
        <f t="shared" ref="R17:R29" si="4">G17*P17</f>
        <v>0.10643123883598153</v>
      </c>
      <c r="S17" s="144"/>
      <c r="T17" s="187" t="s">
        <v>1218</v>
      </c>
      <c r="U17" s="280">
        <f>G17+G21+G25</f>
        <v>0.73946937309542982</v>
      </c>
      <c r="V17" s="165"/>
      <c r="W17" s="566">
        <f>U17/U21</f>
        <v>0.85497672921196621</v>
      </c>
      <c r="Y17" s="121"/>
      <c r="Z17" s="265"/>
      <c r="AA17" s="265"/>
      <c r="AB17" s="265"/>
      <c r="AF17" s="265"/>
      <c r="AG17" s="265"/>
      <c r="AH17" s="265"/>
      <c r="AI17" s="278"/>
      <c r="AJ17" s="144"/>
      <c r="AK17" s="278"/>
      <c r="AL17" s="144"/>
      <c r="AM17" s="269"/>
      <c r="AN17" s="269"/>
      <c r="AO17" s="265"/>
      <c r="AP17" s="265"/>
      <c r="AQ17" t="s">
        <v>867</v>
      </c>
      <c r="AR17" s="52" t="s">
        <v>970</v>
      </c>
    </row>
    <row r="18" spans="2:44" x14ac:dyDescent="0.2">
      <c r="B18" s="515" t="s">
        <v>847</v>
      </c>
      <c r="C18" s="49"/>
      <c r="D18" s="516"/>
      <c r="E18" s="517">
        <f>stemi_size*prob_test_order*prob_test_follow*prev_lof_base*prop_at_lof*prob_mi_at</f>
        <v>9.8677081981918917</v>
      </c>
      <c r="F18" s="517"/>
      <c r="G18" s="518">
        <f>prob_test_order*prob_test_follow*prev_lof_base*prop_at_lof*prob_mi_at</f>
        <v>9.8677081981918928E-3</v>
      </c>
      <c r="H18" s="519"/>
      <c r="I18" s="517">
        <f>ld_tica_180+ (day_cost_asa + day_cost_tica)*md_365_day</f>
        <v>723.09571428571439</v>
      </c>
      <c r="J18" s="517"/>
      <c r="K18" s="517">
        <f>c_poc_test + c_pci + c_drug_at_mi_poc + c_bleed_at+ c_dys_at+c_mi_tree</f>
        <v>10849.719031438472</v>
      </c>
      <c r="L18" s="520"/>
      <c r="M18" s="519"/>
      <c r="N18" s="517">
        <f t="shared" si="3"/>
        <v>107.06186143460401</v>
      </c>
      <c r="O18" s="517"/>
      <c r="P18" s="521">
        <f>((u_noevent_tree*0.5)+(u_rinfar_tree*0.5 ))- u_dec_bleed_at-u_dec_dys_at</f>
        <v>0.65814917718891608</v>
      </c>
      <c r="Q18" s="521"/>
      <c r="R18" s="521">
        <f t="shared" si="4"/>
        <v>6.4944240313803163E-3</v>
      </c>
      <c r="S18" s="144"/>
      <c r="T18" s="187" t="s">
        <v>1219</v>
      </c>
      <c r="U18" s="280">
        <f>G18+G22+G26</f>
        <v>4.6675996820177035E-2</v>
      </c>
      <c r="V18" s="165"/>
      <c r="W18" s="566">
        <f>U18/U21</f>
        <v>5.3966928916842433E-2</v>
      </c>
      <c r="Y18" s="121"/>
      <c r="Z18" s="265"/>
      <c r="AA18" s="265"/>
      <c r="AB18" s="265"/>
      <c r="AF18" s="265"/>
      <c r="AG18" s="265"/>
      <c r="AH18" s="265"/>
      <c r="AI18" s="278"/>
      <c r="AJ18" s="144"/>
      <c r="AK18" s="165"/>
      <c r="AL18" s="144"/>
      <c r="AM18" s="269"/>
      <c r="AN18" s="265"/>
      <c r="AO18" s="265"/>
      <c r="AP18" s="265"/>
      <c r="AR18" s="52" t="s">
        <v>969</v>
      </c>
    </row>
    <row r="19" spans="2:44" x14ac:dyDescent="0.2">
      <c r="B19" s="515" t="s">
        <v>829</v>
      </c>
      <c r="C19" s="49"/>
      <c r="D19" s="516"/>
      <c r="E19" s="517">
        <f>stemi_size*prob_test_order*prob_test_follow*prev_lof_base*prop_at_lof*prob_stk_at</f>
        <v>2.5398671431117821</v>
      </c>
      <c r="F19" s="517"/>
      <c r="G19" s="518">
        <f>prob_test_order*prob_test_follow*prev_lof_base*prop_at_lof*prob_stk_at</f>
        <v>2.5398671431117819E-3</v>
      </c>
      <c r="H19" s="519"/>
      <c r="I19" s="517">
        <f>ld_tica_180+(day_cost_asa + day_cost_tica)*md_365_day</f>
        <v>723.09571428571439</v>
      </c>
      <c r="J19" s="517"/>
      <c r="K19" s="517">
        <f>c_poc_test + c_pci + c_drug_at_stk_poc + c_bleed_at+ c_dys_at+c_stk_tree</f>
        <v>22627.548001754458</v>
      </c>
      <c r="L19" s="520"/>
      <c r="M19" s="519"/>
      <c r="N19" s="517">
        <f t="shared" si="3"/>
        <v>57.470965698840807</v>
      </c>
      <c r="O19" s="517"/>
      <c r="P19" s="521">
        <f>((u_noevent_tree*0.5)+(u_stk_tree*0.5)) - u_dec_bleed_at-u_dec_dys_at</f>
        <v>0.62734952643891595</v>
      </c>
      <c r="Q19" s="521"/>
      <c r="R19" s="521">
        <f t="shared" si="4"/>
        <v>1.5933844494489388E-3</v>
      </c>
      <c r="S19" s="144"/>
      <c r="T19" s="187" t="s">
        <v>1220</v>
      </c>
      <c r="U19" s="280">
        <f>G19+G23+G27</f>
        <v>1.0948711215419731E-2</v>
      </c>
      <c r="V19" s="165"/>
      <c r="W19" s="566">
        <f>U19/U21</f>
        <v>1.2658933073672942E-2</v>
      </c>
      <c r="Y19" s="121"/>
      <c r="Z19" s="265"/>
      <c r="AA19" s="265"/>
      <c r="AB19" s="265"/>
      <c r="AF19" s="265"/>
      <c r="AG19" s="265"/>
      <c r="AH19" s="265"/>
      <c r="AI19" s="278"/>
      <c r="AJ19" s="144"/>
      <c r="AK19" s="165"/>
      <c r="AL19" s="144"/>
      <c r="AM19" s="269"/>
      <c r="AN19" s="265"/>
      <c r="AO19" s="265"/>
      <c r="AP19" s="265"/>
      <c r="AR19" s="52" t="s">
        <v>970</v>
      </c>
    </row>
    <row r="20" spans="2:44" x14ac:dyDescent="0.2">
      <c r="B20" s="515" t="s">
        <v>830</v>
      </c>
      <c r="C20" s="49"/>
      <c r="D20" s="516"/>
      <c r="E20" s="517">
        <f>stemi_size*prob_test_order*prob_test_follow*prev_lof_base*prop_at_lof*prob_dead_at</f>
        <v>13.906943514729242</v>
      </c>
      <c r="F20" s="517"/>
      <c r="G20" s="518">
        <f>prob_test_order*prob_test_follow*prev_lof_base*prop_at_lof*prob_dead_at</f>
        <v>1.3906943514729243E-2</v>
      </c>
      <c r="H20" s="519"/>
      <c r="I20" s="517">
        <f>ld_tica_180 + (day_cost_asa + day_cost_tica)* md_halfway</f>
        <v>362.52785714285716</v>
      </c>
      <c r="J20" s="517"/>
      <c r="K20" s="517">
        <f>c_poc_test + c_pci + c_drug_at_dead_poc + c_bleed_at+ c_dys_at+c_dead_tree</f>
        <v>5117.7084775937728</v>
      </c>
      <c r="L20" s="520"/>
      <c r="M20" s="519"/>
      <c r="N20" s="517">
        <f t="shared" si="3"/>
        <v>71.17168272274759</v>
      </c>
      <c r="O20" s="517"/>
      <c r="P20" s="521">
        <f>(u_noevent_tree*0.5)- u_dec_bleed_at-u_dec_dys_at</f>
        <v>0.34245275700141597</v>
      </c>
      <c r="Q20" s="521"/>
      <c r="R20" s="521">
        <f t="shared" si="4"/>
        <v>4.762471148081991E-3</v>
      </c>
      <c r="S20" s="144"/>
      <c r="T20" s="187" t="s">
        <v>1221</v>
      </c>
      <c r="U20" s="280">
        <f>G20+G24+G28</f>
        <v>6.7805918868973636E-2</v>
      </c>
      <c r="V20" s="165"/>
      <c r="W20" s="566">
        <f>U20/U21</f>
        <v>7.8397408797518345E-2</v>
      </c>
      <c r="Y20" s="121"/>
      <c r="Z20" s="265"/>
      <c r="AA20" s="265"/>
      <c r="AB20" s="265"/>
      <c r="AC20" s="265"/>
      <c r="AD20" s="265"/>
      <c r="AE20" s="265"/>
      <c r="AF20" s="265"/>
      <c r="AG20" s="265"/>
      <c r="AH20" s="265"/>
      <c r="AI20" s="278"/>
      <c r="AJ20" s="144"/>
      <c r="AK20" s="165"/>
      <c r="AL20" s="144"/>
      <c r="AM20" s="269"/>
      <c r="AN20" s="265"/>
      <c r="AO20" s="265"/>
      <c r="AP20" s="265"/>
      <c r="AR20" s="52" t="s">
        <v>971</v>
      </c>
    </row>
    <row r="21" spans="2:44" x14ac:dyDescent="0.2">
      <c r="B21" s="522" t="s">
        <v>831</v>
      </c>
      <c r="C21" s="523"/>
      <c r="D21" s="524"/>
      <c r="E21" s="525">
        <f>stemi_size*prob_test_order*prob_test_follow*prev_lof_base*(prop_ap_lof)*(1-prob_mi_ap-prob_stk_ap-prob_dead_ap)</f>
        <v>63.363305746638829</v>
      </c>
      <c r="F21" s="525"/>
      <c r="G21" s="526">
        <f>prob_test_order*prob_test_follow*prev_lof_base*(prop_ap_lof)*(1-prob_mi_ap-prob_stk_ap-prob_dead_ap)</f>
        <v>6.3363305746638829E-2</v>
      </c>
      <c r="H21" s="527"/>
      <c r="I21" s="525">
        <f>ld_pras_60+(day_cost_asa + day_cost_pras)*md_328_day</f>
        <v>106.09857142857143</v>
      </c>
      <c r="J21" s="525"/>
      <c r="K21" s="525">
        <f>c_poc_test + c_pci +c_drug_ap_noevent_pc+ c_bleed_ap+ c_dys_ap+c_noevent_tree</f>
        <v>5463.4288220210765</v>
      </c>
      <c r="L21" s="528"/>
      <c r="M21" s="527"/>
      <c r="N21" s="525">
        <f t="shared" si="3"/>
        <v>346.18091087472027</v>
      </c>
      <c r="O21" s="525"/>
      <c r="P21" s="529">
        <f>u_noevent_tree - u_dec_bleed_ap-u_dec_dys_ap</f>
        <v>0.68573782432540387</v>
      </c>
      <c r="Q21" s="529"/>
      <c r="R21" s="529">
        <f t="shared" si="4"/>
        <v>4.3450615424765471E-2</v>
      </c>
      <c r="S21" s="144"/>
      <c r="T21" s="144"/>
      <c r="U21" s="280">
        <f>U17+U18+U19+U20</f>
        <v>0.86490000000000022</v>
      </c>
      <c r="V21" s="144"/>
      <c r="W21" s="566">
        <f>W17+W18+W19+W20</f>
        <v>0.99999999999999989</v>
      </c>
      <c r="Z21" s="265"/>
      <c r="AA21" s="265"/>
      <c r="AB21" s="265"/>
      <c r="AC21" s="265"/>
      <c r="AD21" s="265"/>
      <c r="AE21" s="265"/>
      <c r="AF21" s="265"/>
      <c r="AG21" s="265"/>
      <c r="AH21" s="265"/>
      <c r="AI21" s="278"/>
      <c r="AJ21" s="144"/>
      <c r="AK21" s="278"/>
      <c r="AL21" s="144"/>
      <c r="AM21" s="269"/>
      <c r="AN21" s="265"/>
      <c r="AO21" s="265"/>
      <c r="AP21" s="265"/>
      <c r="AR21" s="52" t="s">
        <v>973</v>
      </c>
    </row>
    <row r="22" spans="2:44" x14ac:dyDescent="0.2">
      <c r="B22" s="522" t="s">
        <v>852</v>
      </c>
      <c r="C22" s="530"/>
      <c r="D22" s="524"/>
      <c r="E22" s="525">
        <f>stemi_size*prob_test_order*prob_test_follow*prev_lof_base*(prop_ap_lof)*prob_mi_ap</f>
        <v>3.7616622601794525</v>
      </c>
      <c r="F22" s="525"/>
      <c r="G22" s="526">
        <f>prob_test_order*prob_test_follow*prev_lof_base*(prop_ap_lof)*prob_mi_ap</f>
        <v>3.7616622601794525E-3</v>
      </c>
      <c r="H22" s="527"/>
      <c r="I22" s="525">
        <f>ld_pras_60+(day_cost_asa + day_cost_pras)*md_365_day</f>
        <v>117.90223214285714</v>
      </c>
      <c r="J22" s="525"/>
      <c r="K22" s="525">
        <f>c_poc_test + c_pci +c_drug_ap_mi_poc+ c_bleed_ap+ c_dys_ap+c_mi_tree</f>
        <v>10269.941568690328</v>
      </c>
      <c r="L22" s="528"/>
      <c r="M22" s="527"/>
      <c r="N22" s="525">
        <f t="shared" si="3"/>
        <v>38.632051613190569</v>
      </c>
      <c r="O22" s="525"/>
      <c r="P22" s="529">
        <f>((u_noevent_tree*0.5)+(u_rinfar_tree*0.5 ))- u_dec_bleed_ap-u_dec_dys_ap</f>
        <v>0.65830155198790397</v>
      </c>
      <c r="Q22" s="529"/>
      <c r="R22" s="529">
        <f t="shared" si="4"/>
        <v>2.4763081039304601E-3</v>
      </c>
      <c r="S22" s="144"/>
      <c r="T22" s="144"/>
      <c r="U22" s="144"/>
      <c r="V22" s="144"/>
      <c r="Z22" s="265"/>
      <c r="AA22" s="265"/>
      <c r="AB22" s="265"/>
      <c r="AC22" s="265"/>
      <c r="AD22" s="265"/>
      <c r="AE22" s="265"/>
      <c r="AF22" s="265"/>
      <c r="AG22" s="265"/>
      <c r="AH22" s="265"/>
      <c r="AI22" s="278"/>
      <c r="AJ22" s="144"/>
      <c r="AK22" s="165"/>
      <c r="AL22" s="144"/>
      <c r="AM22" s="269"/>
      <c r="AN22" s="265"/>
      <c r="AO22" s="265"/>
      <c r="AP22" s="265"/>
      <c r="AR22" s="52" t="s">
        <v>972</v>
      </c>
    </row>
    <row r="23" spans="2:44" x14ac:dyDescent="0.2">
      <c r="B23" s="522" t="s">
        <v>832</v>
      </c>
      <c r="C23" s="530"/>
      <c r="D23" s="524"/>
      <c r="E23" s="525">
        <f>stemi_size*prob_test_order*prob_test_follow*prev_lof_base*(prop_ap_lof)*prob_stk_ap</f>
        <v>0.86933779230794828</v>
      </c>
      <c r="F23" s="525"/>
      <c r="G23" s="526">
        <f>prob_test_order*prob_test_follow*prev_lof_base*(prop_ap_lof)*prob_stk_ap</f>
        <v>8.6933779230794828E-4</v>
      </c>
      <c r="H23" s="527"/>
      <c r="I23" s="525">
        <f>ld_pras_60+(day_cost_asa + day_cost_pras)*md_365_day</f>
        <v>117.90223214285714</v>
      </c>
      <c r="J23" s="525"/>
      <c r="K23" s="525">
        <f>c_poc_test + c_pci +c_drug_ap_stk_poc+ c_bleed_ap+ c_dys_ap+c_stk_tree</f>
        <v>22047.770539006313</v>
      </c>
      <c r="L23" s="528"/>
      <c r="M23" s="527"/>
      <c r="N23" s="525">
        <f t="shared" si="3"/>
        <v>19.166960165691972</v>
      </c>
      <c r="O23" s="525"/>
      <c r="P23" s="529">
        <f>((u_noevent_tree*0.5)+(u_stk_tree*0.5)) - u_dec_bleed_ap-u_dec_dys_ap</f>
        <v>0.62750190123790384</v>
      </c>
      <c r="Q23" s="529"/>
      <c r="R23" s="529">
        <f t="shared" si="4"/>
        <v>5.4551111749119954E-4</v>
      </c>
      <c r="S23" s="144"/>
      <c r="T23" s="144"/>
      <c r="U23" s="144"/>
      <c r="V23" s="144"/>
      <c r="Z23" s="265"/>
      <c r="AA23" s="265"/>
      <c r="AB23" s="265"/>
      <c r="AC23" s="265"/>
      <c r="AD23" s="265"/>
      <c r="AE23" s="265"/>
      <c r="AF23" s="265"/>
      <c r="AG23" s="265"/>
      <c r="AH23" s="265"/>
      <c r="AI23" s="278"/>
      <c r="AJ23" s="144"/>
      <c r="AK23" s="165"/>
      <c r="AL23" s="144"/>
      <c r="AM23" s="269"/>
      <c r="AN23" s="265"/>
      <c r="AO23" s="265"/>
      <c r="AP23" s="265"/>
      <c r="AR23" s="52" t="s">
        <v>974</v>
      </c>
    </row>
    <row r="24" spans="2:44" x14ac:dyDescent="0.2">
      <c r="B24" s="522" t="s">
        <v>833</v>
      </c>
      <c r="C24" s="530"/>
      <c r="D24" s="524"/>
      <c r="E24" s="525">
        <f>stemi_size*prob_test_order*prob_test_follow*prev_lof_base*(prop_ap_lof)*prob_dead_ap</f>
        <v>7.3250843417188474</v>
      </c>
      <c r="F24" s="525"/>
      <c r="G24" s="526">
        <f>prob_test_order*prob_test_follow*prev_lof_base*(prop_ap_lof)*prob_dead_ap</f>
        <v>7.3250843417188476E-3</v>
      </c>
      <c r="H24" s="527"/>
      <c r="I24" s="525">
        <f>ld_pras_60+(day_cost_asa + day_cost_pras)*md_halfway</f>
        <v>59.681473214285717</v>
      </c>
      <c r="J24" s="525"/>
      <c r="K24" s="531">
        <f>c_poc_test + c_pci +c_drug_ap_dead_poc+ c_bleed_ap+ c_dys_ap+c_dead_tree</f>
        <v>4840.2781130599142</v>
      </c>
      <c r="L24" s="528"/>
      <c r="M24" s="527"/>
      <c r="N24" s="525">
        <f t="shared" si="3"/>
        <v>35.455445415539629</v>
      </c>
      <c r="O24" s="525"/>
      <c r="P24" s="529">
        <f>(u_noevent_tree*0.5)- u_dec_bleed_ap-u_dec_dys_ap</f>
        <v>0.34260513180040386</v>
      </c>
      <c r="Q24" s="529"/>
      <c r="R24" s="529">
        <f t="shared" si="4"/>
        <v>2.5096114863436604E-3</v>
      </c>
      <c r="S24" s="144"/>
      <c r="T24" s="144"/>
      <c r="U24" s="280">
        <f>1-U21</f>
        <v>0.13509999999999978</v>
      </c>
      <c r="V24" s="144"/>
      <c r="Z24" s="265"/>
      <c r="AA24" s="265"/>
      <c r="AB24" s="265"/>
      <c r="AC24" s="265"/>
      <c r="AD24" s="265"/>
      <c r="AE24" s="265"/>
      <c r="AF24" s="265"/>
      <c r="AG24" s="265"/>
      <c r="AH24" s="265"/>
      <c r="AI24" s="278"/>
      <c r="AJ24" s="144"/>
      <c r="AK24" s="165"/>
      <c r="AL24" s="144"/>
      <c r="AM24" s="269"/>
      <c r="AN24" s="265"/>
      <c r="AO24" s="265"/>
      <c r="AP24" s="265"/>
      <c r="AR24" s="52" t="s">
        <v>972</v>
      </c>
    </row>
    <row r="25" spans="2:44" x14ac:dyDescent="0.2">
      <c r="B25" s="532" t="s">
        <v>834</v>
      </c>
      <c r="C25" s="364"/>
      <c r="D25" s="533"/>
      <c r="E25" s="534">
        <f>stemi_size*prob_test_order*prob_test_follow*(1-prev_lof_base)*(1-prob_mi_ac_nlof-prob_stk_ac_nlof-prob_dead_ac_nlof)</f>
        <v>520.86467634566895</v>
      </c>
      <c r="F25" s="534"/>
      <c r="G25" s="535">
        <f>prob_test_order*prob_test_follow*(1-prev_lof_base)*(1-prob_mi_ac_nlof-prob_stk_ac_nlof-prob_dead_ac_nlof)</f>
        <v>0.52086467634566891</v>
      </c>
      <c r="H25" s="533"/>
      <c r="I25" s="534">
        <f>ld_clop_600+(day_cost_asa + day_cost_clop)*md_328_day</f>
        <v>21.754285714285718</v>
      </c>
      <c r="J25" s="534"/>
      <c r="K25" s="534">
        <f>c_poc_test + c_pci +c_drug_ac_noevent_poc+ c_bleed_ac+c_dys_ac+c_noevent_tree</f>
        <v>5344.821082797127</v>
      </c>
      <c r="L25" s="536"/>
      <c r="M25" s="533"/>
      <c r="N25" s="534">
        <f t="shared" si="3"/>
        <v>2783.9285034166332</v>
      </c>
      <c r="O25" s="534"/>
      <c r="P25" s="371">
        <f>u_noevent_tree - u_dec_bleed_ac-u_dec_dys_ac</f>
        <v>0.68581227195410954</v>
      </c>
      <c r="Q25" s="371"/>
      <c r="R25" s="371">
        <f t="shared" si="4"/>
        <v>0.35721538706526512</v>
      </c>
      <c r="S25" s="144"/>
      <c r="T25" s="144"/>
      <c r="U25" s="144"/>
      <c r="V25" s="144"/>
      <c r="Z25" s="144"/>
      <c r="AA25" s="144"/>
      <c r="AB25" s="144"/>
      <c r="AC25" s="144"/>
      <c r="AD25" s="144"/>
      <c r="AE25" s="144"/>
      <c r="AF25" s="144"/>
      <c r="AG25" s="144"/>
      <c r="AH25" s="144"/>
      <c r="AI25" s="144"/>
      <c r="AJ25" s="144"/>
      <c r="AK25" s="144"/>
      <c r="AL25" s="144"/>
      <c r="AM25" s="144"/>
      <c r="AN25" s="144"/>
      <c r="AO25" s="144"/>
      <c r="AP25" s="144"/>
      <c r="AR25" s="52" t="s">
        <v>975</v>
      </c>
    </row>
    <row r="26" spans="2:44" x14ac:dyDescent="0.2">
      <c r="B26" s="532" t="s">
        <v>835</v>
      </c>
      <c r="C26" s="364"/>
      <c r="D26" s="533"/>
      <c r="E26" s="534">
        <f>stemi_size*prob_test_order*prob_test_follow*(1-prev_lof_base)*prob_mi_ac_nlof</f>
        <v>33.046626361805693</v>
      </c>
      <c r="F26" s="534"/>
      <c r="G26" s="535">
        <f>prob_test_order*prob_test_follow*(1-prev_lof_base)*prob_mi_ac_nlof</f>
        <v>3.3046626361805685E-2</v>
      </c>
      <c r="H26" s="533"/>
      <c r="I26" s="534">
        <f>ld_clop_600+(day_cost_asa + day_cost_clop)*md_365_day</f>
        <v>24.172500000000003</v>
      </c>
      <c r="J26" s="534"/>
      <c r="K26" s="534">
        <f>c_poc_test+ c_pci +c_drug_ac_mi_poc+ c_bleed_ac+ c_dys_ac+c_mi_tree</f>
        <v>10141.948383037807</v>
      </c>
      <c r="L26" s="536"/>
      <c r="M26" s="533"/>
      <c r="N26" s="534">
        <f t="shared" si="3"/>
        <v>335.15717879496975</v>
      </c>
      <c r="O26" s="534"/>
      <c r="P26" s="371">
        <f>((u_noevent_tree*0.5)+(u_rinfar_tree*0.5 ))- u_dec_bleed_ac-u_dec_dys_ac</f>
        <v>0.65837599961660964</v>
      </c>
      <c r="Q26" s="371"/>
      <c r="R26" s="371">
        <f t="shared" si="4"/>
        <v>2.1757105664910421E-2</v>
      </c>
      <c r="S26" s="144"/>
      <c r="T26" s="144"/>
      <c r="U26" s="144"/>
      <c r="V26" s="144"/>
      <c r="Z26" s="144"/>
      <c r="AA26" s="144"/>
      <c r="AB26" s="144"/>
      <c r="AC26" s="144"/>
      <c r="AD26" s="144"/>
      <c r="AE26" s="144"/>
      <c r="AF26" s="144"/>
      <c r="AG26" s="144"/>
      <c r="AH26" s="144"/>
      <c r="AI26" s="144"/>
      <c r="AJ26" s="144"/>
      <c r="AK26" s="144"/>
      <c r="AL26" s="144"/>
      <c r="AM26" s="144"/>
      <c r="AN26" s="144"/>
      <c r="AO26" s="144"/>
      <c r="AP26" s="144"/>
      <c r="AR26" s="52" t="s">
        <v>976</v>
      </c>
    </row>
    <row r="27" spans="2:44" x14ac:dyDescent="0.2">
      <c r="B27" s="532" t="s">
        <v>836</v>
      </c>
      <c r="C27" s="364"/>
      <c r="D27" s="533"/>
      <c r="E27" s="534">
        <f>stemi_size*prob_test_order*prob_test_follow*(1-prev_lof_base)*prob_stk_ac_nlof</f>
        <v>7.5395062800000021</v>
      </c>
      <c r="F27" s="534"/>
      <c r="G27" s="535">
        <f>prob_test_order*prob_test_follow*(1-prev_lof_base)*prob_stk_ac_nlof</f>
        <v>7.5395062800000011E-3</v>
      </c>
      <c r="H27" s="533"/>
      <c r="I27" s="534">
        <f>ld_clop_600+(day_cost_asa + day_cost_clop)*md_365_day</f>
        <v>24.172500000000003</v>
      </c>
      <c r="J27" s="534"/>
      <c r="K27" s="534">
        <f>c_poc_test + c_pci +c_drug_ac_stk_poc+ c_bleed_ac+ c_dys_ac+c_stk_tree</f>
        <v>21919.777353353791</v>
      </c>
      <c r="L27" s="536"/>
      <c r="M27" s="533"/>
      <c r="N27" s="534">
        <f t="shared" si="3"/>
        <v>165.26429901181271</v>
      </c>
      <c r="O27" s="534"/>
      <c r="P27" s="371">
        <f>((u_noevent_tree*0.5)+(u_stk_tree*0.5)) - u_dec_bleed_ac-u_dec_dys_ac</f>
        <v>0.62757634886660951</v>
      </c>
      <c r="Q27" s="371"/>
      <c r="R27" s="371">
        <f t="shared" si="4"/>
        <v>4.7316158234592736E-3</v>
      </c>
      <c r="S27" s="144"/>
      <c r="T27" s="144"/>
      <c r="U27" s="144"/>
      <c r="V27" s="144"/>
      <c r="Z27" s="144"/>
      <c r="AA27" s="144"/>
      <c r="AB27" s="144"/>
      <c r="AC27" s="144"/>
      <c r="AD27" s="144"/>
      <c r="AE27" s="144"/>
      <c r="AF27" s="144"/>
      <c r="AG27" s="144"/>
      <c r="AH27" s="144"/>
      <c r="AI27" s="144"/>
      <c r="AJ27" s="144"/>
      <c r="AK27" s="144"/>
      <c r="AL27" s="144"/>
      <c r="AM27" s="144"/>
      <c r="AN27" s="144"/>
      <c r="AO27" s="144"/>
      <c r="AP27" s="144"/>
      <c r="AR27" s="52" t="s">
        <v>976</v>
      </c>
    </row>
    <row r="28" spans="2:44" x14ac:dyDescent="0.2">
      <c r="B28" s="532" t="s">
        <v>837</v>
      </c>
      <c r="C28" s="364"/>
      <c r="D28" s="533"/>
      <c r="E28" s="534">
        <f>stemi_size*prob_test_order*prob_test_follow*(1-prev_lof_base)*prob_dead_ac_nlof</f>
        <v>46.57389101252555</v>
      </c>
      <c r="F28" s="534"/>
      <c r="G28" s="535">
        <f>prob_test_order*prob_test_follow*(1-prev_lof_base)*prob_dead_ac_nlof</f>
        <v>4.6573891012525542E-2</v>
      </c>
      <c r="H28" s="533"/>
      <c r="I28" s="534">
        <f>ld_clop_600+(day_cost_asa + day_cost_clop)*md_halfway</f>
        <v>12.244821428571429</v>
      </c>
      <c r="J28" s="534"/>
      <c r="K28" s="534">
        <f>c_poc_test + c_pci +c_drug_ac_dead_poc+ c_bleed_ac+ c_dys_ac+c_dead_tree</f>
        <v>4758.5780077645359</v>
      </c>
      <c r="L28" s="536"/>
      <c r="M28" s="533"/>
      <c r="N28" s="534">
        <f t="shared" si="3"/>
        <v>221.62549350822641</v>
      </c>
      <c r="O28" s="534"/>
      <c r="P28" s="371">
        <f>(u_noevent_tree*0.5)- u_dec_bleed_ac-u_dec_dys_ac</f>
        <v>0.34267957942910959</v>
      </c>
      <c r="Q28" s="371"/>
      <c r="R28" s="371">
        <f t="shared" si="4"/>
        <v>1.5959921384549439E-2</v>
      </c>
      <c r="S28" s="144"/>
      <c r="T28" s="144"/>
      <c r="U28" s="144"/>
      <c r="V28" s="144"/>
      <c r="Z28" s="144"/>
      <c r="AA28" s="144"/>
      <c r="AB28" s="144"/>
      <c r="AC28" s="144"/>
      <c r="AD28" s="144"/>
      <c r="AE28" s="144"/>
      <c r="AF28" s="144"/>
      <c r="AG28" s="144"/>
      <c r="AH28" s="144"/>
      <c r="AI28" s="144"/>
      <c r="AJ28" s="144"/>
      <c r="AK28" s="144"/>
      <c r="AL28" s="144"/>
      <c r="AM28" s="144"/>
      <c r="AN28" s="144"/>
      <c r="AO28" s="144"/>
      <c r="AP28" s="144"/>
      <c r="AR28" s="52" t="s">
        <v>977</v>
      </c>
    </row>
    <row r="29" spans="2:44" x14ac:dyDescent="0.2">
      <c r="B29" s="537" t="s">
        <v>851</v>
      </c>
      <c r="C29" s="538"/>
      <c r="D29" s="539"/>
      <c r="E29" s="540">
        <f>stemi_size*(prob_test_order)*(1-prob_test_follow)</f>
        <v>65.099999999999952</v>
      </c>
      <c r="F29" s="540"/>
      <c r="G29" s="541">
        <f>prob_test_order*(1-prob_test_follow)</f>
        <v>6.5099999999999963E-2</v>
      </c>
      <c r="H29" s="542"/>
      <c r="I29" s="540" t="s">
        <v>350</v>
      </c>
      <c r="J29" s="540"/>
      <c r="K29" s="540">
        <f>c_poc_test+c_st_tree</f>
        <v>6147.961901669194</v>
      </c>
      <c r="L29" s="539"/>
      <c r="M29" s="542"/>
      <c r="N29" s="540">
        <f t="shared" si="3"/>
        <v>400.23231979866432</v>
      </c>
      <c r="O29" s="540"/>
      <c r="P29" s="543">
        <f>qaly_st_tree</f>
        <v>0.65391909812104365</v>
      </c>
      <c r="Q29" s="543"/>
      <c r="R29" s="543">
        <f t="shared" si="4"/>
        <v>4.2570133287679918E-2</v>
      </c>
    </row>
    <row r="30" spans="2:44" ht="16" customHeight="1" x14ac:dyDescent="0.2">
      <c r="B30" s="544" t="s">
        <v>979</v>
      </c>
      <c r="C30" s="545"/>
      <c r="D30" s="545"/>
      <c r="E30" s="546">
        <f>stemi_size*(1-prob_test_order)</f>
        <v>69.999999999999957</v>
      </c>
      <c r="F30" s="546"/>
      <c r="G30" s="547">
        <f>1-prob_test_order</f>
        <v>6.9999999999999951E-2</v>
      </c>
      <c r="H30" s="548"/>
      <c r="I30" s="546" t="s">
        <v>350</v>
      </c>
      <c r="J30" s="546"/>
      <c r="K30" s="546">
        <f>c_st_tree</f>
        <v>6022.961901669194</v>
      </c>
      <c r="L30" s="545"/>
      <c r="M30" s="548"/>
      <c r="N30" s="546">
        <f t="shared" si="3"/>
        <v>421.60733311684328</v>
      </c>
      <c r="O30" s="546"/>
      <c r="P30" s="549">
        <f>qaly_st_tree</f>
        <v>0.65391909812104365</v>
      </c>
      <c r="Q30" s="550"/>
      <c r="R30" s="549">
        <f t="shared" ref="R30" si="5">G30*P30</f>
        <v>4.5774336868473021E-2</v>
      </c>
    </row>
    <row r="32" spans="2:44" x14ac:dyDescent="0.2">
      <c r="B32" s="164"/>
      <c r="C32" s="164"/>
    </row>
    <row r="33" spans="2:43" x14ac:dyDescent="0.2">
      <c r="M33"/>
      <c r="Y33" s="272"/>
      <c r="Z33" s="272"/>
      <c r="AD33" s="278"/>
      <c r="AF33" s="278"/>
      <c r="AG33" s="278"/>
      <c r="AH33" s="121"/>
      <c r="AI33" s="121"/>
      <c r="AJ33" s="121"/>
      <c r="AK33" s="121"/>
      <c r="AL33" s="121"/>
      <c r="AM33" s="121"/>
      <c r="AN33" s="121"/>
      <c r="AO33" s="121"/>
      <c r="AP33" s="121"/>
      <c r="AQ33" s="272"/>
    </row>
    <row r="34" spans="2:43" x14ac:dyDescent="0.2">
      <c r="B34" s="164"/>
      <c r="C34" s="164"/>
      <c r="W34" s="272"/>
      <c r="X34" s="272"/>
    </row>
    <row r="35" spans="2:43" x14ac:dyDescent="0.2">
      <c r="AA35" s="144"/>
      <c r="AB35" s="144"/>
      <c r="AC35" s="144"/>
      <c r="AD35" s="144"/>
      <c r="AE35" s="144"/>
      <c r="AF35" s="144"/>
      <c r="AG35" s="144"/>
    </row>
    <row r="36" spans="2:43" x14ac:dyDescent="0.2">
      <c r="AA36" s="144"/>
      <c r="AB36" s="144"/>
      <c r="AC36" s="144"/>
      <c r="AD36" s="144"/>
      <c r="AE36" s="144"/>
      <c r="AF36" s="144"/>
      <c r="AG36" s="144"/>
    </row>
    <row r="37" spans="2:43" x14ac:dyDescent="0.2">
      <c r="AA37" s="144"/>
      <c r="AB37" s="144"/>
      <c r="AC37" s="144"/>
      <c r="AD37" s="144"/>
      <c r="AE37" s="144"/>
      <c r="AF37" s="144"/>
      <c r="AG37" s="144"/>
    </row>
    <row r="38" spans="2:43" x14ac:dyDescent="0.2">
      <c r="B38" s="164"/>
      <c r="C38" s="164"/>
      <c r="AA38" s="144"/>
      <c r="AB38" s="144"/>
      <c r="AC38" s="144"/>
      <c r="AD38" s="144"/>
      <c r="AE38" s="144"/>
      <c r="AF38" s="144"/>
      <c r="AG38" s="144"/>
    </row>
    <row r="39" spans="2:43" x14ac:dyDescent="0.2">
      <c r="AA39" s="144"/>
      <c r="AB39" s="144"/>
      <c r="AC39" s="144"/>
      <c r="AD39" s="144"/>
      <c r="AE39" s="144"/>
      <c r="AF39" s="144"/>
      <c r="AG39" s="144"/>
    </row>
    <row r="40" spans="2:43" x14ac:dyDescent="0.2">
      <c r="B40" s="164"/>
      <c r="C40" s="164"/>
      <c r="AA40" s="144"/>
      <c r="AB40" s="144"/>
      <c r="AC40" s="144"/>
      <c r="AD40" s="144"/>
      <c r="AE40" s="144"/>
      <c r="AF40" s="144"/>
      <c r="AG40" s="144"/>
    </row>
    <row r="41" spans="2:43" x14ac:dyDescent="0.2">
      <c r="AA41" s="144"/>
      <c r="AB41" s="144"/>
      <c r="AC41" s="144"/>
      <c r="AD41" s="144"/>
      <c r="AE41" s="144"/>
      <c r="AF41" s="144"/>
      <c r="AG41" s="144"/>
    </row>
    <row r="42" spans="2:43" x14ac:dyDescent="0.2">
      <c r="B42" s="164"/>
      <c r="C42" s="164"/>
    </row>
    <row r="44" spans="2:43" x14ac:dyDescent="0.2">
      <c r="B44" s="164"/>
      <c r="C44" s="164"/>
    </row>
    <row r="46" spans="2:43" x14ac:dyDescent="0.2">
      <c r="B46" s="164"/>
      <c r="C46" s="164"/>
    </row>
    <row r="48" spans="2:43" x14ac:dyDescent="0.2">
      <c r="B48" s="164"/>
      <c r="C48" s="164"/>
    </row>
    <row r="50" spans="2:3" x14ac:dyDescent="0.2">
      <c r="B50" s="164"/>
      <c r="C50" s="164"/>
    </row>
    <row r="52" spans="2:3" x14ac:dyDescent="0.2">
      <c r="B52" s="164"/>
      <c r="C52" s="164"/>
    </row>
    <row r="54" spans="2:3" x14ac:dyDescent="0.2">
      <c r="B54" s="164"/>
      <c r="C54" s="164"/>
    </row>
    <row r="56" spans="2:3" x14ac:dyDescent="0.2">
      <c r="B56" s="164"/>
      <c r="C56" s="164"/>
    </row>
    <row r="58" spans="2:3" x14ac:dyDescent="0.2">
      <c r="B58" s="164"/>
      <c r="C58" s="164"/>
    </row>
    <row r="60" spans="2:3" x14ac:dyDescent="0.2">
      <c r="B60" s="164"/>
      <c r="C60" s="164"/>
    </row>
    <row r="62" spans="2:3" x14ac:dyDescent="0.2">
      <c r="B62" s="164"/>
      <c r="C62" s="164"/>
    </row>
    <row r="64" spans="2:3" x14ac:dyDescent="0.2">
      <c r="B64" s="164"/>
      <c r="C64" s="164"/>
    </row>
    <row r="66" spans="2:3" x14ac:dyDescent="0.2">
      <c r="B66" s="164"/>
      <c r="C66" s="164"/>
    </row>
    <row r="68" spans="2:3" x14ac:dyDescent="0.2">
      <c r="B68" s="164"/>
      <c r="C68" s="164"/>
    </row>
    <row r="70" spans="2:3" x14ac:dyDescent="0.2">
      <c r="B70" s="164"/>
      <c r="C70" s="164"/>
    </row>
    <row r="72" spans="2:3" x14ac:dyDescent="0.2">
      <c r="B72" s="164"/>
      <c r="C72" s="164"/>
    </row>
    <row r="74" spans="2:3" x14ac:dyDescent="0.2">
      <c r="B74" s="164"/>
      <c r="C74" s="164"/>
    </row>
    <row r="76" spans="2:3" x14ac:dyDescent="0.2">
      <c r="B76" s="164"/>
      <c r="C76" s="164"/>
    </row>
    <row r="78" spans="2:3" x14ac:dyDescent="0.2">
      <c r="B78" s="164"/>
      <c r="C78" s="164"/>
    </row>
    <row r="80" spans="2:3" x14ac:dyDescent="0.2">
      <c r="B80" s="164"/>
      <c r="C80" s="164"/>
    </row>
    <row r="82" spans="2:3" x14ac:dyDescent="0.2">
      <c r="B82" s="164"/>
      <c r="C82" s="164"/>
    </row>
    <row r="84" spans="2:3" x14ac:dyDescent="0.2">
      <c r="B84" s="164"/>
      <c r="C84" s="164"/>
    </row>
    <row r="86" spans="2:3" x14ac:dyDescent="0.2">
      <c r="B86" s="164"/>
      <c r="C86" s="164"/>
    </row>
    <row r="88" spans="2:3" x14ac:dyDescent="0.2">
      <c r="B88" s="164"/>
      <c r="C88" s="164"/>
    </row>
    <row r="90" spans="2:3" x14ac:dyDescent="0.2">
      <c r="B90" s="164"/>
      <c r="C90" s="164"/>
    </row>
    <row r="92" spans="2:3" x14ac:dyDescent="0.2">
      <c r="B92" s="164"/>
      <c r="C92" s="164"/>
    </row>
    <row r="94" spans="2:3" x14ac:dyDescent="0.2">
      <c r="B94" s="164"/>
      <c r="C94" s="164"/>
    </row>
    <row r="96" spans="2:3" x14ac:dyDescent="0.2">
      <c r="B96" s="164"/>
      <c r="C96" s="164"/>
    </row>
    <row r="98" spans="2:3" x14ac:dyDescent="0.2">
      <c r="B98" s="164"/>
      <c r="C98" s="164"/>
    </row>
    <row r="100" spans="2:3" x14ac:dyDescent="0.2">
      <c r="B100" s="164"/>
      <c r="C100" s="164"/>
    </row>
    <row r="102" spans="2:3" x14ac:dyDescent="0.2">
      <c r="B102" s="164"/>
      <c r="C102" s="164"/>
    </row>
    <row r="104" spans="2:3" x14ac:dyDescent="0.2">
      <c r="B104" s="164"/>
      <c r="C104" s="164"/>
    </row>
    <row r="106" spans="2:3" x14ac:dyDescent="0.2">
      <c r="B106" s="164"/>
      <c r="C106" s="164"/>
    </row>
  </sheetData>
  <phoneticPr fontId="4"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62C9B6-7642-4109-8AD1-4B6F55099A2B}">
  <dimension ref="B1:EB382"/>
  <sheetViews>
    <sheetView showGridLines="0" zoomScale="115" zoomScaleNormal="85" workbookViewId="0">
      <pane ySplit="7" topLeftCell="A8" activePane="bottomLeft" state="frozen"/>
      <selection pane="bottomLeft" activeCell="O27" sqref="O27"/>
    </sheetView>
  </sheetViews>
  <sheetFormatPr baseColWidth="10" defaultColWidth="8.83203125" defaultRowHeight="12" x14ac:dyDescent="0.15"/>
  <cols>
    <col min="1" max="1" width="7" style="372" customWidth="1"/>
    <col min="2" max="2" width="16.83203125" style="372" customWidth="1"/>
    <col min="3" max="3" width="4.5" style="372" customWidth="1"/>
    <col min="4" max="4" width="4.1640625" style="372" customWidth="1"/>
    <col min="5" max="11" width="6.6640625" style="372" customWidth="1"/>
    <col min="12" max="12" width="1.83203125" style="372" customWidth="1"/>
    <col min="13" max="13" width="1.5" style="373" customWidth="1"/>
    <col min="14" max="21" width="6.6640625" style="372" customWidth="1"/>
    <col min="22" max="22" width="1.83203125" style="386" customWidth="1"/>
    <col min="23" max="23" width="1.33203125" style="372" customWidth="1"/>
    <col min="24" max="31" width="6.6640625" style="372" customWidth="1"/>
    <col min="32" max="32" width="1.5" style="372" customWidth="1"/>
    <col min="33" max="33" width="1.33203125" style="386" customWidth="1"/>
    <col min="34" max="37" width="6.6640625" style="372" customWidth="1"/>
    <col min="38" max="38" width="7.1640625" style="372" customWidth="1"/>
    <col min="39" max="39" width="6.6640625" style="372" customWidth="1"/>
    <col min="40" max="40" width="1.5" style="372" customWidth="1"/>
    <col min="41" max="41" width="1.5" style="373" customWidth="1"/>
    <col min="42" max="47" width="6.6640625" style="372" customWidth="1"/>
    <col min="48" max="49" width="6.6640625" style="381" customWidth="1"/>
    <col min="50" max="50" width="1.83203125" style="387" customWidth="1"/>
    <col min="51" max="58" width="6.6640625" style="381" customWidth="1"/>
    <col min="59" max="59" width="1.1640625" style="381" customWidth="1"/>
    <col min="60" max="60" width="1.5" style="380" customWidth="1"/>
    <col min="61" max="61" width="1.83203125" style="372" customWidth="1"/>
    <col min="62" max="68" width="6.6640625" style="372" customWidth="1"/>
    <col min="69" max="69" width="1.5" style="444" customWidth="1"/>
    <col min="70" max="76" width="6.6640625" style="372" customWidth="1"/>
    <col min="77" max="77" width="1.33203125" style="372" customWidth="1"/>
    <col min="78" max="78" width="1.5" style="386" customWidth="1"/>
    <col min="79" max="79" width="7.33203125" style="372" customWidth="1"/>
    <col min="80" max="84" width="6.6640625" style="372" customWidth="1"/>
    <col min="85" max="85" width="7.1640625" style="372" bestFit="1" customWidth="1"/>
    <col min="86" max="86" width="1.1640625" style="372" customWidth="1"/>
    <col min="87" max="87" width="1.1640625" style="373" customWidth="1"/>
    <col min="88" max="88" width="8.5" style="372" customWidth="1"/>
    <col min="89" max="93" width="6.6640625" style="372" customWidth="1"/>
    <col min="94" max="94" width="7.1640625" style="372" customWidth="1"/>
    <col min="95" max="95" width="1.1640625" style="373" customWidth="1"/>
    <col min="96" max="96" width="7.1640625" style="372" customWidth="1"/>
    <col min="97" max="101" width="6.6640625" style="372" customWidth="1"/>
    <col min="102" max="102" width="6.6640625" style="381" customWidth="1"/>
    <col min="103" max="103" width="1.83203125" style="381" customWidth="1"/>
    <col min="104" max="104" width="1.83203125" style="380" customWidth="1"/>
    <col min="105" max="111" width="6.6640625" style="381" customWidth="1"/>
    <col min="112" max="112" width="2.1640625" style="372" customWidth="1"/>
    <col min="113" max="113" width="1.83203125" style="373" customWidth="1"/>
    <col min="114" max="120" width="6.6640625" style="372" customWidth="1"/>
    <col min="121" max="121" width="1.5" style="373" customWidth="1"/>
    <col min="122" max="122" width="1.83203125" style="372" customWidth="1"/>
    <col min="123" max="123" width="10.33203125" style="372" customWidth="1"/>
    <col min="124" max="129" width="6.6640625" style="372" customWidth="1"/>
    <col min="130" max="130" width="1.83203125" style="373" customWidth="1"/>
    <col min="131" max="131" width="11.1640625" style="372" bestFit="1" customWidth="1"/>
    <col min="132" max="1999" width="8.83203125" style="372"/>
    <col min="2000" max="2000" width="2.1640625" style="372" customWidth="1"/>
    <col min="2001" max="2026" width="8.83203125" style="372"/>
    <col min="2027" max="2027" width="2.1640625" style="372" customWidth="1"/>
    <col min="2028" max="2036" width="8.83203125" style="372"/>
    <col min="2037" max="2037" width="2.1640625" style="372" customWidth="1"/>
    <col min="2038" max="2038" width="8.83203125" style="372"/>
    <col min="2039" max="2040" width="2.1640625" style="372" customWidth="1"/>
    <col min="2041" max="2054" width="8.83203125" style="372"/>
    <col min="2055" max="2055" width="2.1640625" style="372" customWidth="1"/>
    <col min="2056" max="16384" width="8.83203125" style="372"/>
  </cols>
  <sheetData>
    <row r="1" spans="2:132" s="373" customFormat="1" x14ac:dyDescent="0.15">
      <c r="V1" s="386"/>
      <c r="AF1" s="386"/>
      <c r="AG1" s="386"/>
      <c r="AV1" s="380"/>
      <c r="AW1" s="380"/>
      <c r="AX1" s="386"/>
      <c r="AY1" s="380"/>
      <c r="AZ1" s="380"/>
      <c r="BA1" s="380"/>
      <c r="BB1" s="380"/>
      <c r="BC1" s="380"/>
      <c r="BD1" s="380"/>
      <c r="BE1" s="380"/>
      <c r="BF1" s="380"/>
      <c r="BG1" s="380"/>
      <c r="BH1" s="380"/>
      <c r="BQ1" s="444"/>
      <c r="BZ1" s="386"/>
      <c r="CX1" s="380"/>
      <c r="CY1" s="380"/>
      <c r="CZ1" s="380"/>
      <c r="DA1" s="380"/>
      <c r="DB1" s="380"/>
      <c r="DC1" s="380"/>
      <c r="DD1" s="380"/>
      <c r="DE1" s="380"/>
      <c r="DF1" s="380"/>
      <c r="DG1" s="380"/>
    </row>
    <row r="2" spans="2:132" s="373" customFormat="1" x14ac:dyDescent="0.15">
      <c r="E2" s="498"/>
      <c r="V2" s="386"/>
      <c r="AF2" s="386"/>
      <c r="AG2" s="386"/>
      <c r="AV2" s="380"/>
      <c r="AW2" s="380"/>
      <c r="AX2" s="387"/>
      <c r="AY2" s="380"/>
      <c r="AZ2" s="380"/>
      <c r="BA2" s="380"/>
      <c r="BB2" s="380"/>
      <c r="BC2" s="380"/>
      <c r="BD2" s="380"/>
      <c r="BE2" s="380"/>
      <c r="BF2" s="380"/>
      <c r="BG2" s="380"/>
      <c r="BH2" s="380"/>
      <c r="BQ2" s="444"/>
      <c r="BZ2" s="386"/>
      <c r="CX2" s="380"/>
      <c r="CY2" s="380"/>
      <c r="CZ2" s="380"/>
      <c r="DA2" s="380"/>
      <c r="DB2" s="380"/>
      <c r="DC2" s="380"/>
      <c r="DD2" s="380"/>
      <c r="DE2" s="380"/>
      <c r="DF2" s="380"/>
      <c r="DG2" s="380"/>
    </row>
    <row r="3" spans="2:132" s="373" customFormat="1" x14ac:dyDescent="0.15">
      <c r="V3" s="386"/>
      <c r="AF3" s="386"/>
      <c r="AG3" s="386"/>
      <c r="AV3" s="380"/>
      <c r="AW3" s="380"/>
      <c r="AX3" s="387"/>
      <c r="AY3" s="380"/>
      <c r="AZ3" s="380"/>
      <c r="BA3" s="380"/>
      <c r="BB3" s="380"/>
      <c r="BC3" s="380"/>
      <c r="BD3" s="380"/>
      <c r="BE3" s="380"/>
      <c r="BF3" s="380"/>
      <c r="BG3" s="380"/>
      <c r="BH3" s="380"/>
      <c r="BQ3" s="444"/>
      <c r="BZ3" s="386"/>
      <c r="CX3" s="380"/>
      <c r="CY3" s="380"/>
      <c r="CZ3" s="380"/>
      <c r="DA3" s="380"/>
      <c r="DB3" s="380"/>
      <c r="DC3" s="380"/>
      <c r="DD3" s="380"/>
      <c r="DE3" s="380"/>
      <c r="DF3" s="380"/>
      <c r="DG3" s="380"/>
    </row>
    <row r="4" spans="2:132" s="373" customFormat="1" ht="15" customHeight="1" x14ac:dyDescent="0.15">
      <c r="D4" s="375"/>
      <c r="E4" s="375"/>
      <c r="F4" s="375"/>
      <c r="G4" s="375"/>
      <c r="H4" s="375"/>
      <c r="I4" s="375"/>
      <c r="J4" s="375"/>
      <c r="K4" s="374"/>
      <c r="L4" s="374"/>
      <c r="V4" s="386"/>
      <c r="AF4" s="386"/>
      <c r="AG4" s="386"/>
      <c r="AV4" s="380"/>
      <c r="AW4" s="380"/>
      <c r="AX4" s="387"/>
      <c r="AY4" s="380"/>
      <c r="AZ4" s="380"/>
      <c r="BA4" s="380"/>
      <c r="BB4" s="380"/>
      <c r="BC4" s="380"/>
      <c r="BD4" s="380"/>
      <c r="BE4" s="380"/>
      <c r="BF4" s="380"/>
      <c r="BG4" s="380"/>
      <c r="BH4" s="380"/>
      <c r="BQ4" s="444"/>
      <c r="BZ4" s="386"/>
      <c r="CX4" s="380"/>
      <c r="CY4" s="380"/>
      <c r="CZ4" s="380"/>
      <c r="DA4" s="380"/>
      <c r="DB4" s="380"/>
      <c r="DC4" s="380"/>
      <c r="DD4" s="380"/>
      <c r="DE4" s="380"/>
      <c r="DF4" s="380"/>
      <c r="DG4" s="380"/>
    </row>
    <row r="5" spans="2:132" s="462" customFormat="1" ht="14.5" customHeight="1" x14ac:dyDescent="0.2">
      <c r="C5" s="583" t="s">
        <v>1223</v>
      </c>
      <c r="D5" s="583"/>
      <c r="E5" s="583"/>
      <c r="F5" s="583"/>
      <c r="G5" s="583"/>
      <c r="H5" s="583"/>
      <c r="I5" s="583"/>
      <c r="J5" s="583"/>
      <c r="K5" s="583"/>
      <c r="N5" s="586" t="s">
        <v>1224</v>
      </c>
      <c r="O5" s="587"/>
      <c r="P5" s="587"/>
      <c r="Q5" s="587"/>
      <c r="R5" s="587"/>
      <c r="S5" s="587"/>
      <c r="T5" s="587"/>
      <c r="U5" s="588"/>
      <c r="V5" s="463"/>
      <c r="W5" s="464"/>
      <c r="X5" s="583" t="s">
        <v>1261</v>
      </c>
      <c r="Y5" s="583"/>
      <c r="Z5" s="583"/>
      <c r="AA5" s="583"/>
      <c r="AB5" s="583"/>
      <c r="AC5" s="583"/>
      <c r="AD5" s="583"/>
      <c r="AE5" s="583"/>
      <c r="AF5" s="465"/>
      <c r="AG5" s="463"/>
      <c r="AH5" s="583" t="s">
        <v>1230</v>
      </c>
      <c r="AI5" s="583"/>
      <c r="AJ5" s="583"/>
      <c r="AK5" s="583"/>
      <c r="AL5" s="583"/>
      <c r="AM5" s="583"/>
      <c r="AN5" s="466"/>
      <c r="AP5" s="586" t="s">
        <v>1225</v>
      </c>
      <c r="AQ5" s="587"/>
      <c r="AR5" s="587"/>
      <c r="AS5" s="587"/>
      <c r="AT5" s="587"/>
      <c r="AU5" s="587"/>
      <c r="AV5" s="587"/>
      <c r="AW5" s="588"/>
      <c r="AX5" s="463"/>
      <c r="AY5" s="586" t="s">
        <v>1264</v>
      </c>
      <c r="AZ5" s="587"/>
      <c r="BA5" s="587"/>
      <c r="BB5" s="587"/>
      <c r="BC5" s="587"/>
      <c r="BD5" s="587"/>
      <c r="BE5" s="587"/>
      <c r="BF5" s="588"/>
      <c r="BG5" s="467"/>
      <c r="BH5" s="467"/>
      <c r="BJ5" s="586" t="s">
        <v>1222</v>
      </c>
      <c r="BK5" s="587"/>
      <c r="BL5" s="587"/>
      <c r="BM5" s="587"/>
      <c r="BN5" s="587"/>
      <c r="BO5" s="587"/>
      <c r="BP5" s="588"/>
      <c r="BQ5" s="468"/>
      <c r="BR5" s="586" t="s">
        <v>1259</v>
      </c>
      <c r="BS5" s="587"/>
      <c r="BT5" s="587"/>
      <c r="BU5" s="587"/>
      <c r="BV5" s="587"/>
      <c r="BW5" s="587"/>
      <c r="BX5" s="588"/>
      <c r="BZ5" s="465"/>
      <c r="CA5" s="586" t="s">
        <v>1227</v>
      </c>
      <c r="CB5" s="587"/>
      <c r="CC5" s="587"/>
      <c r="CD5" s="587"/>
      <c r="CE5" s="587"/>
      <c r="CF5" s="587"/>
      <c r="CG5" s="588"/>
      <c r="CH5" s="464"/>
      <c r="CJ5" s="586" t="s">
        <v>1260</v>
      </c>
      <c r="CK5" s="587"/>
      <c r="CL5" s="587"/>
      <c r="CM5" s="587"/>
      <c r="CN5" s="587"/>
      <c r="CO5" s="587"/>
      <c r="CP5" s="588"/>
      <c r="CR5" s="586" t="s">
        <v>1228</v>
      </c>
      <c r="CS5" s="587"/>
      <c r="CT5" s="587"/>
      <c r="CU5" s="587"/>
      <c r="CV5" s="587"/>
      <c r="CW5" s="587"/>
      <c r="CX5" s="588"/>
      <c r="CY5" s="464"/>
      <c r="CZ5" s="467"/>
      <c r="DA5" s="586" t="s">
        <v>1262</v>
      </c>
      <c r="DB5" s="587"/>
      <c r="DC5" s="587"/>
      <c r="DD5" s="587"/>
      <c r="DE5" s="587"/>
      <c r="DF5" s="587"/>
      <c r="DG5" s="588"/>
      <c r="DJ5" s="583" t="s">
        <v>1229</v>
      </c>
      <c r="DK5" s="583"/>
      <c r="DL5" s="583"/>
      <c r="DM5" s="583"/>
      <c r="DN5" s="583"/>
      <c r="DO5" s="583"/>
      <c r="DP5" s="583"/>
      <c r="DQ5" s="464"/>
      <c r="DS5" s="583" t="s">
        <v>1263</v>
      </c>
      <c r="DT5" s="583"/>
      <c r="DU5" s="583"/>
      <c r="DV5" s="583"/>
      <c r="DW5" s="583"/>
      <c r="DX5" s="583"/>
      <c r="DY5" s="583"/>
    </row>
    <row r="6" spans="2:132" s="373" customFormat="1" x14ac:dyDescent="0.15">
      <c r="C6" s="406"/>
      <c r="D6" s="406"/>
      <c r="E6" s="406"/>
      <c r="F6" s="407" t="s">
        <v>1204</v>
      </c>
      <c r="G6" s="406"/>
      <c r="H6" s="407" t="s">
        <v>1204</v>
      </c>
      <c r="I6" s="406"/>
      <c r="J6" s="406"/>
      <c r="K6" s="406"/>
      <c r="N6" s="406"/>
      <c r="O6" s="407" t="s">
        <v>1204</v>
      </c>
      <c r="P6" s="406"/>
      <c r="Q6" s="407" t="s">
        <v>1204</v>
      </c>
      <c r="R6" s="406"/>
      <c r="S6" s="406"/>
      <c r="T6" s="406"/>
      <c r="U6" s="406"/>
      <c r="V6" s="386"/>
      <c r="X6" s="406"/>
      <c r="Y6" s="407" t="s">
        <v>1204</v>
      </c>
      <c r="Z6" s="406"/>
      <c r="AA6" s="407" t="s">
        <v>1204</v>
      </c>
      <c r="AB6" s="406"/>
      <c r="AC6" s="406"/>
      <c r="AD6" s="406"/>
      <c r="AE6" s="406"/>
      <c r="AF6" s="386"/>
      <c r="AG6" s="386"/>
      <c r="AH6" s="406"/>
      <c r="AI6" s="407" t="s">
        <v>1204</v>
      </c>
      <c r="AJ6" s="406"/>
      <c r="AK6" s="407" t="s">
        <v>1204</v>
      </c>
      <c r="AL6" s="406"/>
      <c r="AM6" s="406"/>
      <c r="AP6" s="406"/>
      <c r="AQ6" s="407" t="s">
        <v>1204</v>
      </c>
      <c r="AR6" s="406"/>
      <c r="AS6" s="407" t="s">
        <v>1204</v>
      </c>
      <c r="AT6" s="406"/>
      <c r="AU6" s="406"/>
      <c r="AV6" s="407"/>
      <c r="AW6" s="407"/>
      <c r="AX6" s="387"/>
      <c r="AY6" s="406"/>
      <c r="AZ6" s="407" t="s">
        <v>1204</v>
      </c>
      <c r="BA6" s="406"/>
      <c r="BB6" s="407" t="s">
        <v>1204</v>
      </c>
      <c r="BC6" s="406"/>
      <c r="BD6" s="406"/>
      <c r="BE6" s="407"/>
      <c r="BF6" s="407"/>
      <c r="BG6" s="380"/>
      <c r="BH6" s="380"/>
      <c r="BJ6" s="406"/>
      <c r="BK6" s="407" t="s">
        <v>1204</v>
      </c>
      <c r="BL6" s="406"/>
      <c r="BM6" s="407" t="s">
        <v>1204</v>
      </c>
      <c r="BN6" s="406"/>
      <c r="BO6" s="406"/>
      <c r="BP6" s="406"/>
      <c r="BQ6" s="444"/>
      <c r="BR6" s="406"/>
      <c r="BS6" s="407" t="s">
        <v>1204</v>
      </c>
      <c r="BT6" s="406"/>
      <c r="BU6" s="407" t="s">
        <v>1204</v>
      </c>
      <c r="BV6" s="406"/>
      <c r="BW6" s="406"/>
      <c r="BX6" s="406"/>
      <c r="BZ6" s="386"/>
      <c r="CA6" s="406"/>
      <c r="CB6" s="407" t="s">
        <v>1204</v>
      </c>
      <c r="CC6" s="406"/>
      <c r="CD6" s="407" t="s">
        <v>1204</v>
      </c>
      <c r="CE6" s="406"/>
      <c r="CF6" s="406"/>
      <c r="CG6" s="406"/>
      <c r="CJ6" s="406"/>
      <c r="CK6" s="407" t="s">
        <v>1204</v>
      </c>
      <c r="CL6" s="406"/>
      <c r="CM6" s="407" t="s">
        <v>1204</v>
      </c>
      <c r="CN6" s="406"/>
      <c r="CO6" s="406"/>
      <c r="CP6" s="406"/>
      <c r="CR6" s="406"/>
      <c r="CS6" s="407" t="s">
        <v>1204</v>
      </c>
      <c r="CT6" s="406"/>
      <c r="CU6" s="407" t="s">
        <v>1204</v>
      </c>
      <c r="CV6" s="406"/>
      <c r="CW6" s="406"/>
      <c r="CX6" s="407"/>
      <c r="CY6" s="380"/>
      <c r="CZ6" s="380"/>
      <c r="DA6" s="406"/>
      <c r="DB6" s="407" t="s">
        <v>1204</v>
      </c>
      <c r="DC6" s="406"/>
      <c r="DD6" s="407" t="s">
        <v>1204</v>
      </c>
      <c r="DE6" s="406"/>
      <c r="DF6" s="406"/>
      <c r="DG6" s="407"/>
      <c r="DJ6" s="406"/>
      <c r="DK6" s="407" t="s">
        <v>1204</v>
      </c>
      <c r="DL6" s="406"/>
      <c r="DM6" s="407" t="s">
        <v>1204</v>
      </c>
      <c r="DN6" s="406"/>
      <c r="DO6" s="406"/>
      <c r="DP6" s="406"/>
      <c r="DS6" s="406"/>
      <c r="DT6" s="407" t="s">
        <v>1204</v>
      </c>
      <c r="DU6" s="406"/>
      <c r="DV6" s="407" t="s">
        <v>1204</v>
      </c>
      <c r="DW6" s="406"/>
      <c r="DX6" s="406"/>
      <c r="DY6" s="406"/>
    </row>
    <row r="7" spans="2:132" s="446" customFormat="1" ht="36" x14ac:dyDescent="0.15">
      <c r="C7" s="448" t="s">
        <v>674</v>
      </c>
      <c r="D7" s="448" t="s">
        <v>1200</v>
      </c>
      <c r="E7" s="448" t="s">
        <v>1206</v>
      </c>
      <c r="F7" s="448" t="s">
        <v>1205</v>
      </c>
      <c r="G7" s="448" t="s">
        <v>1207</v>
      </c>
      <c r="H7" s="448" t="s">
        <v>1210</v>
      </c>
      <c r="I7" s="448" t="s">
        <v>1211</v>
      </c>
      <c r="J7" s="448" t="s">
        <v>1212</v>
      </c>
      <c r="K7" s="448" t="s">
        <v>1213</v>
      </c>
      <c r="L7" s="447"/>
      <c r="M7" s="447"/>
      <c r="N7" s="448" t="s">
        <v>1199</v>
      </c>
      <c r="O7" s="448" t="s">
        <v>1201</v>
      </c>
      <c r="P7" s="448" t="s">
        <v>1202</v>
      </c>
      <c r="Q7" s="448" t="s">
        <v>582</v>
      </c>
      <c r="R7" s="448" t="s">
        <v>1203</v>
      </c>
      <c r="S7" s="448" t="s">
        <v>1208</v>
      </c>
      <c r="T7" s="448" t="s">
        <v>1226</v>
      </c>
      <c r="U7" s="448" t="s">
        <v>1236</v>
      </c>
      <c r="V7" s="449"/>
      <c r="W7" s="447"/>
      <c r="X7" s="448" t="s">
        <v>1199</v>
      </c>
      <c r="Y7" s="448" t="s">
        <v>1201</v>
      </c>
      <c r="Z7" s="448" t="s">
        <v>1202</v>
      </c>
      <c r="AA7" s="448" t="s">
        <v>582</v>
      </c>
      <c r="AB7" s="448" t="s">
        <v>1203</v>
      </c>
      <c r="AC7" s="448" t="s">
        <v>1208</v>
      </c>
      <c r="AD7" s="448" t="s">
        <v>1226</v>
      </c>
      <c r="AE7" s="448" t="s">
        <v>1236</v>
      </c>
      <c r="AF7" s="450"/>
      <c r="AG7" s="449"/>
      <c r="AH7" s="448" t="s">
        <v>1199</v>
      </c>
      <c r="AI7" s="448" t="s">
        <v>1201</v>
      </c>
      <c r="AJ7" s="448" t="s">
        <v>1202</v>
      </c>
      <c r="AK7" s="448" t="s">
        <v>582</v>
      </c>
      <c r="AL7" s="448" t="s">
        <v>1203</v>
      </c>
      <c r="AM7" s="448" t="s">
        <v>1208</v>
      </c>
      <c r="AO7" s="447"/>
      <c r="AP7" s="448" t="s">
        <v>1199</v>
      </c>
      <c r="AQ7" s="448" t="s">
        <v>1201</v>
      </c>
      <c r="AR7" s="448" t="s">
        <v>1202</v>
      </c>
      <c r="AS7" s="448" t="s">
        <v>582</v>
      </c>
      <c r="AT7" s="448" t="s">
        <v>1203</v>
      </c>
      <c r="AU7" s="448" t="s">
        <v>1208</v>
      </c>
      <c r="AV7" s="448" t="s">
        <v>1209</v>
      </c>
      <c r="AW7" s="448" t="s">
        <v>1236</v>
      </c>
      <c r="AX7" s="449"/>
      <c r="AY7" s="448" t="s">
        <v>1199</v>
      </c>
      <c r="AZ7" s="448" t="s">
        <v>1201</v>
      </c>
      <c r="BA7" s="448" t="s">
        <v>1202</v>
      </c>
      <c r="BB7" s="448" t="s">
        <v>582</v>
      </c>
      <c r="BC7" s="448" t="s">
        <v>1203</v>
      </c>
      <c r="BD7" s="448" t="s">
        <v>1208</v>
      </c>
      <c r="BE7" s="448" t="s">
        <v>1209</v>
      </c>
      <c r="BF7" s="448" t="s">
        <v>1236</v>
      </c>
      <c r="BG7" s="380"/>
      <c r="BH7" s="380"/>
      <c r="BJ7" s="448" t="s">
        <v>1199</v>
      </c>
      <c r="BK7" s="448" t="s">
        <v>1201</v>
      </c>
      <c r="BL7" s="448" t="s">
        <v>1202</v>
      </c>
      <c r="BM7" s="448" t="s">
        <v>582</v>
      </c>
      <c r="BN7" s="448" t="s">
        <v>1203</v>
      </c>
      <c r="BO7" s="448" t="s">
        <v>1208</v>
      </c>
      <c r="BP7" s="448" t="s">
        <v>331</v>
      </c>
      <c r="BQ7" s="451"/>
      <c r="BR7" s="448" t="s">
        <v>1199</v>
      </c>
      <c r="BS7" s="448" t="s">
        <v>1201</v>
      </c>
      <c r="BT7" s="448" t="s">
        <v>1202</v>
      </c>
      <c r="BU7" s="448" t="s">
        <v>582</v>
      </c>
      <c r="BV7" s="448" t="s">
        <v>1203</v>
      </c>
      <c r="BW7" s="448" t="s">
        <v>1208</v>
      </c>
      <c r="BX7" s="448" t="s">
        <v>331</v>
      </c>
      <c r="BZ7" s="450"/>
      <c r="CA7" s="448" t="s">
        <v>1199</v>
      </c>
      <c r="CB7" s="448" t="s">
        <v>1201</v>
      </c>
      <c r="CC7" s="448" t="s">
        <v>1202</v>
      </c>
      <c r="CD7" s="448" t="s">
        <v>582</v>
      </c>
      <c r="CE7" s="448" t="s">
        <v>1203</v>
      </c>
      <c r="CF7" s="448" t="s">
        <v>1208</v>
      </c>
      <c r="CG7" s="448" t="s">
        <v>331</v>
      </c>
      <c r="CH7" s="447"/>
      <c r="CI7" s="447"/>
      <c r="CJ7" s="448" t="s">
        <v>1199</v>
      </c>
      <c r="CK7" s="448" t="s">
        <v>1201</v>
      </c>
      <c r="CL7" s="448" t="s">
        <v>1202</v>
      </c>
      <c r="CM7" s="448" t="s">
        <v>582</v>
      </c>
      <c r="CN7" s="448" t="s">
        <v>1203</v>
      </c>
      <c r="CO7" s="448" t="s">
        <v>1208</v>
      </c>
      <c r="CP7" s="448" t="s">
        <v>331</v>
      </c>
      <c r="CR7" s="448" t="s">
        <v>1199</v>
      </c>
      <c r="CS7" s="448" t="s">
        <v>1201</v>
      </c>
      <c r="CT7" s="448" t="s">
        <v>1202</v>
      </c>
      <c r="CU7" s="448" t="s">
        <v>582</v>
      </c>
      <c r="CV7" s="448" t="s">
        <v>1203</v>
      </c>
      <c r="CW7" s="448" t="s">
        <v>1208</v>
      </c>
      <c r="CX7" s="448" t="s">
        <v>1231</v>
      </c>
      <c r="CY7" s="447"/>
      <c r="CZ7" s="447"/>
      <c r="DA7" s="448" t="s">
        <v>1199</v>
      </c>
      <c r="DB7" s="448" t="s">
        <v>1201</v>
      </c>
      <c r="DC7" s="448" t="s">
        <v>1202</v>
      </c>
      <c r="DD7" s="448" t="s">
        <v>582</v>
      </c>
      <c r="DE7" s="448" t="s">
        <v>1203</v>
      </c>
      <c r="DF7" s="448" t="s">
        <v>1208</v>
      </c>
      <c r="DG7" s="448" t="s">
        <v>1231</v>
      </c>
      <c r="DJ7" s="448" t="s">
        <v>1199</v>
      </c>
      <c r="DK7" s="448" t="s">
        <v>1201</v>
      </c>
      <c r="DL7" s="448" t="s">
        <v>1202</v>
      </c>
      <c r="DM7" s="448" t="s">
        <v>582</v>
      </c>
      <c r="DN7" s="448" t="s">
        <v>1203</v>
      </c>
      <c r="DO7" s="448" t="s">
        <v>1208</v>
      </c>
      <c r="DP7" s="448" t="s">
        <v>331</v>
      </c>
      <c r="DQ7" s="447"/>
      <c r="DS7" s="448" t="s">
        <v>1199</v>
      </c>
      <c r="DT7" s="448" t="s">
        <v>1201</v>
      </c>
      <c r="DU7" s="448" t="s">
        <v>1202</v>
      </c>
      <c r="DV7" s="448" t="s">
        <v>582</v>
      </c>
      <c r="DW7" s="448" t="s">
        <v>1203</v>
      </c>
      <c r="DX7" s="448" t="s">
        <v>1208</v>
      </c>
      <c r="DY7" s="448" t="s">
        <v>331</v>
      </c>
    </row>
    <row r="8" spans="2:132" s="373" customFormat="1" ht="6.5" customHeight="1" x14ac:dyDescent="0.15">
      <c r="C8" s="374"/>
      <c r="D8" s="374"/>
      <c r="E8" s="374"/>
      <c r="F8" s="374"/>
      <c r="G8" s="374"/>
      <c r="H8" s="374"/>
      <c r="I8" s="374"/>
      <c r="J8" s="374"/>
      <c r="K8" s="374"/>
      <c r="L8" s="374"/>
      <c r="M8" s="374"/>
      <c r="N8" s="374"/>
      <c r="O8" s="374"/>
      <c r="P8" s="374"/>
      <c r="Q8" s="374"/>
      <c r="R8" s="374"/>
      <c r="S8" s="374"/>
      <c r="T8" s="374"/>
      <c r="U8" s="374"/>
      <c r="V8" s="388"/>
      <c r="W8" s="374"/>
      <c r="X8" s="374"/>
      <c r="Y8" s="374"/>
      <c r="Z8" s="374"/>
      <c r="AA8" s="374"/>
      <c r="AB8" s="374"/>
      <c r="AC8" s="374"/>
      <c r="AD8" s="374"/>
      <c r="AE8" s="374"/>
      <c r="AF8" s="386"/>
      <c r="AG8" s="388"/>
      <c r="AH8" s="374"/>
      <c r="AI8" s="374"/>
      <c r="AJ8" s="374"/>
      <c r="AK8" s="374"/>
      <c r="AL8" s="374"/>
      <c r="AM8" s="374"/>
      <c r="AO8" s="374"/>
      <c r="AV8" s="380"/>
      <c r="AW8" s="380"/>
      <c r="AX8" s="387"/>
      <c r="AY8" s="380"/>
      <c r="AZ8" s="380"/>
      <c r="BA8" s="380"/>
      <c r="BB8" s="380"/>
      <c r="BC8" s="380"/>
      <c r="BD8" s="380"/>
      <c r="BE8" s="380"/>
      <c r="BF8" s="380"/>
      <c r="BG8" s="380"/>
      <c r="BH8" s="380"/>
      <c r="BQ8" s="444"/>
      <c r="BZ8" s="386"/>
      <c r="CX8" s="380"/>
      <c r="CY8" s="380"/>
      <c r="CZ8" s="380"/>
      <c r="DA8" s="380"/>
      <c r="DB8" s="380"/>
      <c r="DC8" s="380"/>
      <c r="DD8" s="380"/>
      <c r="DE8" s="380"/>
      <c r="DF8" s="380"/>
      <c r="DG8" s="380"/>
    </row>
    <row r="9" spans="2:132" s="455" customFormat="1" x14ac:dyDescent="0.15">
      <c r="B9" s="455" t="s">
        <v>587</v>
      </c>
      <c r="C9" s="456">
        <v>0</v>
      </c>
      <c r="D9" s="456">
        <v>62</v>
      </c>
      <c r="E9" s="457">
        <v>4.2999999999999997E-2</v>
      </c>
      <c r="F9" s="457">
        <v>1.12E-2</v>
      </c>
      <c r="G9" s="458">
        <v>2.2034500000000002E-2</v>
      </c>
      <c r="H9" s="458">
        <v>4.9577625E-2</v>
      </c>
      <c r="I9" s="458">
        <v>3.3051750000000005E-2</v>
      </c>
      <c r="J9" s="458">
        <v>5.2111592500000012E-2</v>
      </c>
      <c r="K9" s="458">
        <v>2.5560019999999996E-2</v>
      </c>
      <c r="L9" s="458"/>
      <c r="N9" s="458">
        <f>dist_nevent_st_tree</f>
        <v>0.84528395780831422</v>
      </c>
      <c r="O9" s="458">
        <f>0</f>
        <v>0</v>
      </c>
      <c r="P9" s="458">
        <f>dist_rinfarc_st_tree</f>
        <v>5.5783043635717483E-2</v>
      </c>
      <c r="Q9" s="458">
        <f>0</f>
        <v>0</v>
      </c>
      <c r="R9" s="458">
        <f>dist_stk_st_tree</f>
        <v>1.3080898082621447E-2</v>
      </c>
      <c r="S9" s="458">
        <f>dist_dead_st_tree</f>
        <v>8.5852100473346848E-2</v>
      </c>
      <c r="T9" s="458">
        <f t="shared" ref="T9:T48" si="0">N9+O9+P9+Q9+R9+S9</f>
        <v>1</v>
      </c>
      <c r="U9" s="458">
        <f t="shared" ref="U9:U48" si="1">N9+O9+P9+Q9+R9</f>
        <v>0.91414789952665321</v>
      </c>
      <c r="V9" s="458"/>
      <c r="W9" s="458"/>
      <c r="X9" s="458">
        <f>dist_nevent_st_tree</f>
        <v>0.84528395780831422</v>
      </c>
      <c r="Y9" s="458">
        <f>0</f>
        <v>0</v>
      </c>
      <c r="Z9" s="458">
        <f>dist_rinfarc_st_tree</f>
        <v>5.5783043635717483E-2</v>
      </c>
      <c r="AA9" s="458">
        <f>0</f>
        <v>0</v>
      </c>
      <c r="AB9" s="458">
        <f>dist_stk_st_tree</f>
        <v>1.3080898082621447E-2</v>
      </c>
      <c r="AC9" s="458">
        <f>dist_dead_st_tree</f>
        <v>8.5852100473346848E-2</v>
      </c>
      <c r="AD9" s="458">
        <f>AC9+AB9+AA9+Z9+Y9+X9</f>
        <v>1</v>
      </c>
      <c r="AE9" s="458">
        <f>X9+Y9+Z9+AA9+AB9</f>
        <v>0.91414789952665321</v>
      </c>
      <c r="AF9" s="458"/>
      <c r="AG9" s="458"/>
      <c r="AH9" s="458" t="s">
        <v>350</v>
      </c>
      <c r="AI9" s="458" t="s">
        <v>350</v>
      </c>
      <c r="AJ9" s="458" t="s">
        <v>350</v>
      </c>
      <c r="AK9" s="458" t="s">
        <v>350</v>
      </c>
      <c r="AL9" s="458" t="s">
        <v>350</v>
      </c>
      <c r="AM9" s="458" t="s">
        <v>350</v>
      </c>
      <c r="AN9" s="459"/>
      <c r="AP9" s="458">
        <f>dist_nevent_pc_tree</f>
        <v>0.85497672921196621</v>
      </c>
      <c r="AQ9" s="458">
        <f>0%</f>
        <v>0</v>
      </c>
      <c r="AR9" s="458">
        <f>dist_rinfarc_pc_tree</f>
        <v>5.3966928916842433E-2</v>
      </c>
      <c r="AS9" s="458">
        <f>0%</f>
        <v>0</v>
      </c>
      <c r="AT9" s="458">
        <f>dist_stk_pc_tree</f>
        <v>1.2658933073672942E-2</v>
      </c>
      <c r="AU9" s="458">
        <f>dist_dead_pc_tree</f>
        <v>7.8397408797518345E-2</v>
      </c>
      <c r="AV9" s="458">
        <f t="shared" ref="AV9:AV48" si="2">AP9+AQ9+AR9+AS9+AT9+AU9</f>
        <v>0.99999999999999989</v>
      </c>
      <c r="AW9" s="458">
        <f t="shared" ref="AW9:AW48" si="3">AP9+AQ9+AR9+AS9+AT9</f>
        <v>0.92160259120248156</v>
      </c>
      <c r="AX9" s="460"/>
      <c r="AY9" s="458">
        <f>dist_nevent_pc_tree</f>
        <v>0.85497672921196621</v>
      </c>
      <c r="AZ9" s="458">
        <f>0%</f>
        <v>0</v>
      </c>
      <c r="BA9" s="458">
        <f>dist_rinfarc_pc_tree</f>
        <v>5.3966928916842433E-2</v>
      </c>
      <c r="BB9" s="458">
        <f>0%</f>
        <v>0</v>
      </c>
      <c r="BC9" s="458">
        <f>dist_stk_pc_tree</f>
        <v>1.2658933073672942E-2</v>
      </c>
      <c r="BD9" s="458">
        <f>dist_dead_pc_tree</f>
        <v>7.8397408797518345E-2</v>
      </c>
      <c r="BE9" s="458">
        <f>AY9+AZ9+BA9+BB9+BC9+BD9</f>
        <v>0.99999999999999989</v>
      </c>
      <c r="BF9" s="458">
        <f>AY9+AZ9+BA9+BB9+BC9</f>
        <v>0.92160259120248156</v>
      </c>
      <c r="BG9" s="460"/>
      <c r="BH9" s="460"/>
      <c r="BJ9" s="560">
        <f>N9*c_st_tree</f>
        <v>5091.1130739716273</v>
      </c>
      <c r="BK9" s="560">
        <v>0</v>
      </c>
      <c r="BL9" s="560">
        <f>P9*c_st_tree</f>
        <v>335.97914657707662</v>
      </c>
      <c r="BM9" s="560">
        <v>0</v>
      </c>
      <c r="BN9" s="560">
        <f>R9*c_st_tree</f>
        <v>78.785750791246585</v>
      </c>
      <c r="BO9" s="560">
        <f>S9*c_st_tree</f>
        <v>517.0839303292438</v>
      </c>
      <c r="BP9" s="560">
        <f>SUM(BJ9:BO9)</f>
        <v>6022.961901669195</v>
      </c>
      <c r="BQ9" s="561"/>
      <c r="BR9" s="560">
        <f>X9*c_st_tree</f>
        <v>5091.1130739716273</v>
      </c>
      <c r="BS9" s="560">
        <v>0</v>
      </c>
      <c r="BT9" s="560">
        <f>Z9*c_st_tree</f>
        <v>335.97914657707662</v>
      </c>
      <c r="BU9" s="560">
        <v>0</v>
      </c>
      <c r="BV9" s="560">
        <f>(AB9*c_st_tree)</f>
        <v>78.785750791246585</v>
      </c>
      <c r="BW9" s="560">
        <f>AC9*c_st_tree</f>
        <v>517.0839303292438</v>
      </c>
      <c r="BX9" s="561">
        <f>BR9+BS9+BT9+BU9+BV9+BW9</f>
        <v>6022.961901669195</v>
      </c>
      <c r="BY9" s="561"/>
      <c r="CA9" s="458">
        <f>dist_nevent_pc_tree*c_poc_tree</f>
        <v>5071.3755250401946</v>
      </c>
      <c r="CB9" s="560">
        <v>0</v>
      </c>
      <c r="CC9" s="560">
        <f>AR9*c_poc_tree</f>
        <v>320.10995518289263</v>
      </c>
      <c r="CD9" s="560">
        <v>0</v>
      </c>
      <c r="CE9" s="560">
        <f>AT9*c_poc_tree</f>
        <v>75.087661651467883</v>
      </c>
      <c r="CF9" s="560">
        <f>AU9*c_poc_tree</f>
        <v>465.02166271678311</v>
      </c>
      <c r="CG9" s="560">
        <f>SUM(CA9:CF9)</f>
        <v>5931.5948045913383</v>
      </c>
      <c r="CH9" s="560"/>
      <c r="CI9" s="560"/>
      <c r="CJ9" s="458">
        <f>AY9*c_poc_tree</f>
        <v>5071.3755250401946</v>
      </c>
      <c r="CK9" s="560">
        <v>0</v>
      </c>
      <c r="CL9" s="560">
        <f>BA9*c_poc_tree</f>
        <v>320.10995518289263</v>
      </c>
      <c r="CM9" s="560">
        <v>0</v>
      </c>
      <c r="CN9" s="560">
        <f>BC9*c_poc_tree</f>
        <v>75.087661651467883</v>
      </c>
      <c r="CO9" s="560">
        <f>BD9*c_poc_tree</f>
        <v>465.02166271678311</v>
      </c>
      <c r="CP9" s="560">
        <f>SUM(CJ9:CO9)</f>
        <v>5931.5948045913383</v>
      </c>
      <c r="CR9" s="458">
        <f>N9*qaly_st_tree</f>
        <v>0.55274732334619914</v>
      </c>
      <c r="CS9" s="458">
        <f>(P9*qaly_st_tree)</f>
        <v>3.64775975847152E-2</v>
      </c>
      <c r="CT9" s="458">
        <v>0</v>
      </c>
      <c r="CU9" s="458">
        <f>R9*qaly_st_tree</f>
        <v>8.5538490768011059E-3</v>
      </c>
      <c r="CV9" s="458">
        <v>0</v>
      </c>
      <c r="CW9" s="458">
        <f>S9*qaly_st_tree</f>
        <v>5.6140328113328197E-2</v>
      </c>
      <c r="CX9" s="458">
        <f t="shared" ref="CX9:CX48" si="4">CR9+CS9+CT9+CU9+CV9+CW9</f>
        <v>0.65391909812104365</v>
      </c>
      <c r="CY9" s="458"/>
      <c r="CZ9" s="458"/>
      <c r="DA9" s="458">
        <f>X9*qaly_st_tree</f>
        <v>0.55274732334619914</v>
      </c>
      <c r="DB9" s="458">
        <f>Z9*qaly_st_tree</f>
        <v>3.64775975847152E-2</v>
      </c>
      <c r="DC9" s="458">
        <v>0</v>
      </c>
      <c r="DD9" s="458">
        <f>AB9*qaly_st_tree</f>
        <v>8.5538490768011059E-3</v>
      </c>
      <c r="DE9" s="458">
        <v>0</v>
      </c>
      <c r="DF9" s="458">
        <f>(S9*qaly_st_tree)</f>
        <v>5.6140328113328197E-2</v>
      </c>
      <c r="DG9" s="458">
        <f>DA9+DB9+DC9+DD9+DE9+DF9</f>
        <v>0.65391909812104365</v>
      </c>
      <c r="DJ9" s="458">
        <f>(AP9*qaly_poc_tree)</f>
        <v>0.56109734334334549</v>
      </c>
      <c r="DK9" s="458">
        <f>(AR9*qaly_poc_tree)</f>
        <v>3.5416987865329666E-2</v>
      </c>
      <c r="DL9" s="458">
        <v>0</v>
      </c>
      <c r="DM9" s="458">
        <f>(AT9*qaly_poc_tree)</f>
        <v>8.307704145054157E-3</v>
      </c>
      <c r="DN9" s="458">
        <v>0</v>
      </c>
      <c r="DO9" s="458">
        <f>AU9*qaly_poc_tree</f>
        <v>5.1450029338031368E-2</v>
      </c>
      <c r="DP9" s="562">
        <f>DJ9+DK9+DL9+DM9+DN9+DO9</f>
        <v>0.65627206469176058</v>
      </c>
      <c r="DQ9" s="562"/>
      <c r="DS9" s="458">
        <f>(AY9*qaly_poc_tree)</f>
        <v>0.56109734334334549</v>
      </c>
      <c r="DT9" s="458">
        <f>(BA9*qaly_poc_tree)</f>
        <v>3.5416987865329666E-2</v>
      </c>
      <c r="DU9" s="458">
        <v>0</v>
      </c>
      <c r="DV9" s="458">
        <f>BC9*qaly_poc_tree</f>
        <v>8.307704145054157E-3</v>
      </c>
      <c r="DW9" s="458">
        <v>0</v>
      </c>
      <c r="DX9" s="458">
        <f>BD9*qaly_poc_tree</f>
        <v>5.1450029338031368E-2</v>
      </c>
      <c r="DY9" s="562">
        <f>SUM(DS9:DX9)</f>
        <v>0.65627206469176058</v>
      </c>
      <c r="DZ9" s="563"/>
      <c r="EA9" s="565"/>
    </row>
    <row r="10" spans="2:132" x14ac:dyDescent="0.15">
      <c r="B10" s="461" t="s">
        <v>588</v>
      </c>
      <c r="C10" s="239">
        <v>1</v>
      </c>
      <c r="D10" s="239">
        <v>63</v>
      </c>
      <c r="E10" s="457">
        <f t="shared" ref="E10:E48" si="5">prob_nevent_to_reinfarc</f>
        <v>4.2999999999999997E-2</v>
      </c>
      <c r="F10" s="378">
        <v>1.12E-2</v>
      </c>
      <c r="G10" s="377">
        <f t="shared" ref="G10:G48" si="6">VLOOKUP(D10,prob_dead_noevent,4)</f>
        <v>2.2034500000000002E-2</v>
      </c>
      <c r="H10" s="377">
        <f t="shared" ref="H10:H48" si="7">VLOOKUP(D10,prob_dead_reinfarction,4)</f>
        <v>4.9577625E-2</v>
      </c>
      <c r="I10" s="377">
        <f t="shared" ref="I10:I48" si="8">VLOOKUP(D10,prob_dead_pos_reinfarct,4)</f>
        <v>3.3051750000000005E-2</v>
      </c>
      <c r="J10" s="377">
        <f t="shared" ref="J10:J48" si="9">VLOOKUP(D10,prob_dead_stk,4)</f>
        <v>5.2111592500000012E-2</v>
      </c>
      <c r="K10" s="377">
        <f t="shared" ref="K10:K48" si="10">VLOOKUP(D10,prob_dead_pstk,4)</f>
        <v>2.5560019999999996E-2</v>
      </c>
      <c r="L10" s="377"/>
      <c r="N10" s="377">
        <f>N9-((N9*E9)+(N9*F9)+(N9*G9))</f>
        <v>0.78084415792677631</v>
      </c>
      <c r="O10" s="377">
        <f>N9*E9</f>
        <v>3.6347210185757511E-2</v>
      </c>
      <c r="P10" s="377">
        <f>(O9-(O9*H9))+(P9-(P9*I9))</f>
        <v>5.393931642323066E-2</v>
      </c>
      <c r="Q10" s="377">
        <f>N9*F9</f>
        <v>9.4671803274531188E-3</v>
      </c>
      <c r="R10" s="377">
        <f>(Q9-(Q9*J9))+(R9-(R9*K9))</f>
        <v>1.2746550066011681E-2</v>
      </c>
      <c r="S10" s="377">
        <f>S9+(N9*G9)+(O9*H9)+(P9*I9)+(Q9*J9)+(R9*K9)</f>
        <v>0.10665558507077073</v>
      </c>
      <c r="T10" s="377">
        <f t="shared" si="0"/>
        <v>1</v>
      </c>
      <c r="U10" s="377">
        <f t="shared" si="1"/>
        <v>0.89334441492922922</v>
      </c>
      <c r="V10" s="390"/>
      <c r="W10" s="377"/>
      <c r="X10" s="377">
        <f t="shared" ref="X10:X48" si="11">0.5*(N10+N11)</f>
        <v>0.75108052594804198</v>
      </c>
      <c r="Y10" s="377">
        <f t="shared" ref="Y10:Y48" si="12">0.5*(O10+O11)</f>
        <v>3.496175448830445E-2</v>
      </c>
      <c r="Z10" s="377">
        <f t="shared" ref="Z10:Z48" si="13">0.5*(P10+P11)</f>
        <v>7.0320522937120822E-2</v>
      </c>
      <c r="AA10" s="377">
        <f t="shared" ref="AA10:AA48" si="14">0.5*(Q10+Q11)</f>
        <v>9.1063174481165066E-3</v>
      </c>
      <c r="AB10" s="377">
        <f t="shared" ref="AB10:AB48" si="15">0.5*(R10+R11)</f>
        <v>1.7070564270754984E-2</v>
      </c>
      <c r="AC10" s="377">
        <f t="shared" ref="AC10:AC48" si="16">0.5*(S10+S11)</f>
        <v>0.11746031490766137</v>
      </c>
      <c r="AD10" s="377">
        <f t="shared" ref="AD10:AD48" si="17">AC10+AB10+AA10+Z10+Y10+X10</f>
        <v>1</v>
      </c>
      <c r="AE10" s="377">
        <f t="shared" ref="AE10:AE48" si="18">X10+Y10+Z10+AA10+AB10</f>
        <v>0.8825396850923386</v>
      </c>
      <c r="AF10" s="377"/>
      <c r="AG10" s="390"/>
      <c r="AH10" s="377">
        <f t="shared" ref="AH10:AH48" si="19">VLOOKUP(D10,adj_u_noevent,4)</f>
        <v>0.68245541925000008</v>
      </c>
      <c r="AI10" s="377">
        <f t="shared" ref="AI10:AI48" si="20">VLOOKUP(D10,adj_u_rinfarc,4)</f>
        <v>0.6313928403750001</v>
      </c>
      <c r="AJ10" s="377">
        <f t="shared" ref="AJ10:AJ48" si="21">VLOOKUP(D10,adj_u_posrinfarc,4)</f>
        <v>0.66543455962500009</v>
      </c>
      <c r="AK10" s="377">
        <f t="shared" ref="AK10:AK48" si="22">VLOOKUP(D10,adj_u_stk,4)</f>
        <v>0.56979353887499995</v>
      </c>
      <c r="AL10" s="377">
        <f t="shared" ref="AL10:AL48" si="23">VLOOKUP(D10, adj_u_pos_stk,4)</f>
        <v>0.56979353887499995</v>
      </c>
      <c r="AM10" s="377">
        <v>0</v>
      </c>
      <c r="AN10" s="382"/>
      <c r="AP10" s="377">
        <f t="shared" ref="AP10:AP48" si="24">AP9 -((AP9*E9)+(AP9*F9)+(AP9*G9))</f>
        <v>0.78979800574885661</v>
      </c>
      <c r="AQ10" s="377">
        <f t="shared" ref="AQ10:AQ48" si="25">AP9*E9</f>
        <v>3.6763999356114546E-2</v>
      </c>
      <c r="AR10" s="377">
        <f t="shared" ref="AR10:AR48" si="26">(AQ9-(AQ9*H9))+(AR9-(AR9*I9))</f>
        <v>5.2183227474015187E-2</v>
      </c>
      <c r="AS10" s="377">
        <f t="shared" ref="AS10:AS48" si="27">AP9*F9</f>
        <v>9.5757393671740219E-3</v>
      </c>
      <c r="AT10" s="377">
        <f t="shared" ref="AT10:AT48" si="28">(AS9-(AS9*J9))+(AT9-(AT9*K9))</f>
        <v>1.23353704911312E-2</v>
      </c>
      <c r="AU10" s="377">
        <f t="shared" ref="AU10:AU48" si="29">AU9+(AP9*G9)+(AQ9*H9)+(AR9*I9)+(AS9*J9)+(AT9*K9)</f>
        <v>9.9343657562708396E-2</v>
      </c>
      <c r="AV10" s="377">
        <f t="shared" si="2"/>
        <v>0.99999999999999989</v>
      </c>
      <c r="AW10" s="377">
        <f t="shared" si="3"/>
        <v>0.90065634243729153</v>
      </c>
      <c r="AX10" s="389"/>
      <c r="AY10" s="377">
        <f>0.5*(AP10+AP11)</f>
        <v>0.75969307771422601</v>
      </c>
      <c r="AZ10" s="377">
        <f t="shared" ref="AZ10:BD10" si="30">0.5*(AQ10+AQ11)</f>
        <v>3.5362656801657691E-2</v>
      </c>
      <c r="BA10" s="377">
        <f t="shared" si="30"/>
        <v>6.879151777095148E-2</v>
      </c>
      <c r="BB10" s="377">
        <f t="shared" si="30"/>
        <v>9.2107385157806088E-3</v>
      </c>
      <c r="BC10" s="377">
        <f t="shared" si="30"/>
        <v>1.6716090502593657E-2</v>
      </c>
      <c r="BD10" s="377">
        <f t="shared" si="30"/>
        <v>0.11022591869479052</v>
      </c>
      <c r="BE10" s="377">
        <f t="shared" ref="BE10:BE48" si="31">AY10+AZ10+BA10+BB10+BC10+BD10</f>
        <v>1</v>
      </c>
      <c r="BF10" s="377">
        <f t="shared" ref="BF10:BF48" si="32">AY10+AZ10+BA10+BB10+BC10</f>
        <v>0.88977408130520952</v>
      </c>
      <c r="BG10" s="452"/>
      <c r="BH10" s="453"/>
      <c r="BJ10" s="383">
        <f t="shared" ref="BJ10:BJ48" si="33">(N10*c_noevent_mkv)/(1+disc_cost)^C10</f>
        <v>869.29858266950475</v>
      </c>
      <c r="BK10" s="383">
        <f t="shared" ref="BK10:BK48" si="34">(O10*c_rinfar_mkv)/(1+disc_cost)^C10</f>
        <v>219.01540420703907</v>
      </c>
      <c r="BL10" s="383">
        <f t="shared" ref="BL10:BL48" si="35">(P10*c_post_rinfar_mkv)/(1+disc_cost)^C10</f>
        <v>90.106224231583582</v>
      </c>
      <c r="BM10" s="383">
        <f t="shared" ref="BM10:BM48" si="36">(Q10*c_stk_mkv)/(1+disc_cost)^C10</f>
        <v>207.01482260741736</v>
      </c>
      <c r="BN10" s="383">
        <f t="shared" ref="BN10:BN48" si="37">(R10*c_post_stk_mkv)/(1+disc_cost)^C10</f>
        <v>98.95719446295611</v>
      </c>
      <c r="BO10" s="383">
        <f t="shared" ref="BO10:BO48" si="38">S10*0</f>
        <v>0</v>
      </c>
      <c r="BP10" s="383">
        <f t="shared" ref="BP10:BP48" si="39">BJ10+BK10+BL10+BM10+BN10+BO10</f>
        <v>1484.3922281785008</v>
      </c>
      <c r="BQ10" s="445"/>
      <c r="BR10" s="383">
        <f t="shared" ref="BR10:BR48" si="40">(X10*c_noevent_mkv)/(1+disc_cost)^C10</f>
        <v>836.16331126924558</v>
      </c>
      <c r="BS10" s="383">
        <f t="shared" ref="BS10:BS48" si="41">(Y10*c_rinfar_mkv)/(1+disc_cost)^C10</f>
        <v>210.66713929102835</v>
      </c>
      <c r="BT10" s="383">
        <f t="shared" ref="BT10:BT48" si="42">(Z10*c_post_rinfar_mkv)/(1+disc_cost)^C10</f>
        <v>117.47121076094118</v>
      </c>
      <c r="BU10" s="383">
        <f t="shared" ref="BU10:BU48" si="43">(AA10*c_stk_mkv)/(1+disc_cost)^C10</f>
        <v>199.1239868603848</v>
      </c>
      <c r="BV10" s="383">
        <f t="shared" ref="BV10:BV48" si="44">(AB10*c_post_stk_mkv)/(1+disc_cost)^C10</f>
        <v>132.52645926820961</v>
      </c>
      <c r="BW10" s="383">
        <f>AC10*0</f>
        <v>0</v>
      </c>
      <c r="BX10" s="385">
        <f t="shared" ref="BX10:BX48" si="45">BR10+BS10+BT10+BU10+BV10+BW10</f>
        <v>1495.9521074498095</v>
      </c>
      <c r="BY10" s="385"/>
      <c r="CA10" s="383">
        <f t="shared" ref="CA10:CA48" si="46">(AP10*c_noevent_mkv)/(1+disc_cost)^C10</f>
        <v>879.26672694279864</v>
      </c>
      <c r="CB10" s="383">
        <f t="shared" ref="CB10:CB48" si="47">(AQ10*c_rinfar_mkv)/(1+disc_cost)^C10</f>
        <v>221.52682800403332</v>
      </c>
      <c r="CC10" s="383">
        <f t="shared" ref="CC10:CC48" si="48">(AR10*c_post_rinfar_mkv)/(1+disc_cost)^C10</f>
        <v>87.172658233322849</v>
      </c>
      <c r="CD10" s="383">
        <f t="shared" ref="CD10:CD48" si="49">(AS10*c_stk_mkv)/(1+disc_cost)^C10</f>
        <v>209.3886371512352</v>
      </c>
      <c r="CE10" s="383">
        <f t="shared" ref="CE10:CE48" si="50">(AT10*c_post_stk_mkv)/(1+disc_cost)^C10</f>
        <v>95.765022703544915</v>
      </c>
      <c r="CF10" s="383">
        <f t="shared" ref="CF10:CF48" si="51">AU10*0</f>
        <v>0</v>
      </c>
      <c r="CG10" s="383">
        <f t="shared" ref="CG10:CG48" si="52">SUM(CA10:CF10)</f>
        <v>1493.1198730349349</v>
      </c>
      <c r="CH10" s="383"/>
      <c r="CI10" s="398"/>
      <c r="CJ10" s="383">
        <f t="shared" ref="CJ10:CJ48" si="53">(AY10*c_noevent_mkv)/(1+disc_cost)^C10</f>
        <v>845.75149729523821</v>
      </c>
      <c r="CK10" s="383">
        <f t="shared" ref="CK10:CK48" si="54">(AZ10*c_rinfar_mkv)/(1+disc_cost)^C10</f>
        <v>213.08283451929657</v>
      </c>
      <c r="CL10" s="383">
        <f t="shared" ref="CL10:CL48" si="55">(BA10*c_post_rinfar_mkv)/(1+disc_cost)^C10</f>
        <v>114.91699073202795</v>
      </c>
      <c r="CM10" s="383">
        <f t="shared" ref="CM10:CM48" si="56">(BB10*c_stk_mkv)/(1+disc_cost)^C10</f>
        <v>201.40731812178231</v>
      </c>
      <c r="CN10" s="383">
        <f t="shared" ref="CN10:CN48" si="57">(BC10*c_post_stk_mkv)/(1+disc_cost)^C10</f>
        <v>129.77452016105534</v>
      </c>
      <c r="CO10" s="383">
        <f t="shared" ref="CO10:CO48" si="58">(BD10*0)/(1+disc_cost)^H10</f>
        <v>0</v>
      </c>
      <c r="CP10" s="383">
        <f>SUM(CJ10:CO10)</f>
        <v>1504.9331608294003</v>
      </c>
      <c r="CR10" s="377">
        <f t="shared" ref="CR10:CR48" si="59">(N10*AH10)/(1+disc_cost)^C10</f>
        <v>0.51487084750418499</v>
      </c>
      <c r="CS10" s="377">
        <f t="shared" ref="CS10:CS48" si="60">(O10*AI10)/(1+disc_cost)^C10</f>
        <v>2.2173302684920359E-2</v>
      </c>
      <c r="CT10" s="377">
        <f t="shared" ref="CT10:CT48" si="61">(P10*AJ10)/(1+disc_cost)^C10</f>
        <v>3.4679309440160414E-2</v>
      </c>
      <c r="CU10" s="377">
        <f t="shared" ref="CU10:CU48" si="62">(Q10*AK10)/(1+disc_cost)^C10</f>
        <v>5.2119209487413469E-3</v>
      </c>
      <c r="CV10" s="377">
        <f t="shared" ref="CV10:CV48" si="63">(R10*AL10)/(1+disc_cost)^C10</f>
        <v>7.0172964932948409E-3</v>
      </c>
      <c r="CW10" s="377">
        <v>0</v>
      </c>
      <c r="CX10" s="377">
        <f t="shared" si="4"/>
        <v>0.58395267707130194</v>
      </c>
      <c r="CY10" s="377"/>
      <c r="CZ10" s="454"/>
      <c r="DA10" s="377">
        <f t="shared" ref="DA10:DA48" si="64">(X10*AH10)/(1+disc_cost)^C10</f>
        <v>0.49524538669215612</v>
      </c>
      <c r="DB10" s="377">
        <f t="shared" ref="DB10:DB48" si="65">(Y10*AI10)/(1+disc_cost)^C10</f>
        <v>2.1328117363153581E-2</v>
      </c>
      <c r="DC10" s="377">
        <f t="shared" ref="DC10:DC48" si="66">(Z10*AJ10)/(1+disc_cost)^C10</f>
        <v>4.5211310350978466E-2</v>
      </c>
      <c r="DD10" s="377">
        <f t="shared" ref="DD10:DD48" si="67">(AA10*AK10)/(1+disc_cost)^C10</f>
        <v>5.0132568549579358E-3</v>
      </c>
      <c r="DE10" s="377">
        <f t="shared" ref="DE10:DE48" si="68">(AB10*AL10)/(1+disc_cost)^C10</f>
        <v>9.3977750979967294E-3</v>
      </c>
      <c r="DF10" s="377">
        <v>0</v>
      </c>
      <c r="DG10" s="377">
        <f t="shared" ref="DG10:DG48" si="69">DA10+DB10+DC10+DD10+DE10+DF10</f>
        <v>0.57619584635924281</v>
      </c>
      <c r="DJ10" s="377">
        <f t="shared" ref="DJ10:DJ48" si="70">(AP10*AH10)/(1+disc_cost)^C10</f>
        <v>0.52077481075956522</v>
      </c>
      <c r="DK10" s="377">
        <f t="shared" ref="DK10:DK48" si="71">(AQ10*AI10)/(1+disc_cost)^C10</f>
        <v>2.2427561330436562E-2</v>
      </c>
      <c r="DL10" s="377">
        <f t="shared" ref="DL10:DL48" si="72">(AR10*AJ10)/(1+disc_cost)^C10</f>
        <v>3.3550263762301934E-2</v>
      </c>
      <c r="DM10" s="377">
        <f t="shared" ref="DM10:DM48" si="73">(AS10*AK10)/(1+disc_cost)^C10</f>
        <v>5.2716854312722114E-3</v>
      </c>
      <c r="DN10" s="377">
        <f t="shared" ref="DN10:DN48" si="74">(AT10*AL10)/(1+disc_cost)^C10</f>
        <v>6.7909317927303311E-3</v>
      </c>
      <c r="DO10" s="377">
        <f t="shared" ref="DO10:DO48" si="75">AU10*0</f>
        <v>0</v>
      </c>
      <c r="DP10" s="377">
        <f>DJ10+DK10+DL10+DM10+DN10+DO10</f>
        <v>0.58881525307630633</v>
      </c>
      <c r="DQ10" s="454"/>
      <c r="DS10" s="377">
        <f t="shared" ref="DS10:DS48" si="76">(AY10*AH10)/((1+disc_effect)^C10)</f>
        <v>0.50092430710414015</v>
      </c>
      <c r="DT10" s="377">
        <f t="shared" ref="DT10:DT48" si="77">(AZ10*AI10)/((1+disc_effect)^C10)</f>
        <v>2.1572684368313978E-2</v>
      </c>
      <c r="DU10" s="377">
        <f t="shared" ref="DU10:DU48" si="78">(BA10*AJ10)/((1+disc_effect)^C10)</f>
        <v>4.4228264090674853E-2</v>
      </c>
      <c r="DV10" s="377">
        <f t="shared" ref="DV10:DV48" si="79">BB10*AK10/((1+disc_effect)^C10)</f>
        <v>5.0707432797670506E-3</v>
      </c>
      <c r="DW10" s="377">
        <f t="shared" ref="DW10:DW48" si="80">BC10*AL10/(1+disc_effect)^C10</f>
        <v>9.2026283706547023E-3</v>
      </c>
      <c r="DX10" s="377">
        <f t="shared" ref="DX10:DX48" si="81">BD10*0</f>
        <v>0</v>
      </c>
      <c r="DY10" s="402">
        <f>DS10+DT10+DU10+DV10+DW10+DX10</f>
        <v>0.58099862721355067</v>
      </c>
    </row>
    <row r="11" spans="2:132" x14ac:dyDescent="0.15">
      <c r="B11" s="461" t="s">
        <v>588</v>
      </c>
      <c r="C11" s="239">
        <v>2</v>
      </c>
      <c r="D11" s="239">
        <v>64</v>
      </c>
      <c r="E11" s="457">
        <f t="shared" si="5"/>
        <v>4.2999999999999997E-2</v>
      </c>
      <c r="F11" s="378">
        <v>1.12E-2</v>
      </c>
      <c r="G11" s="377">
        <f t="shared" si="6"/>
        <v>2.4059999999999998E-2</v>
      </c>
      <c r="H11" s="377">
        <f t="shared" si="7"/>
        <v>5.4134999999999996E-2</v>
      </c>
      <c r="I11" s="377">
        <f t="shared" si="8"/>
        <v>3.6089999999999997E-2</v>
      </c>
      <c r="J11" s="377">
        <f t="shared" si="9"/>
        <v>5.6901900000000005E-2</v>
      </c>
      <c r="K11" s="377">
        <f t="shared" si="10"/>
        <v>2.7909599999999996E-2</v>
      </c>
      <c r="L11" s="377"/>
      <c r="N11" s="377">
        <f t="shared" ref="N11:N48" si="82">N10-((N10*E10)+(N10*F10)+(N10*G10))</f>
        <v>0.72131689396930754</v>
      </c>
      <c r="O11" s="377">
        <f t="shared" ref="O11:O48" si="83">N10*E10</f>
        <v>3.3576298790851382E-2</v>
      </c>
      <c r="P11" s="377">
        <f t="shared" ref="P11:P48" si="84">(O10-(O10*H10))+(P10-(P10*I10))</f>
        <v>8.6701729451010984E-2</v>
      </c>
      <c r="Q11" s="377">
        <f t="shared" ref="Q11:Q48" si="85">N10*F10</f>
        <v>8.7454545687798944E-3</v>
      </c>
      <c r="R11" s="377">
        <f t="shared" ref="R11:R48" si="86">(Q10-(Q10*J10))+(R10-(R10*K10))</f>
        <v>2.1394578475498287E-2</v>
      </c>
      <c r="S11" s="377">
        <f t="shared" ref="S11:S48" si="87">S10+(N10*G10)+(O10*H10)+(P10*I10)+(Q10*J10)+(R10*K10)</f>
        <v>0.128265044744552</v>
      </c>
      <c r="T11" s="377">
        <f t="shared" si="0"/>
        <v>1</v>
      </c>
      <c r="U11" s="377">
        <f t="shared" si="1"/>
        <v>0.87173495525544797</v>
      </c>
      <c r="V11" s="390"/>
      <c r="W11" s="377"/>
      <c r="X11" s="377">
        <f t="shared" si="11"/>
        <v>0.69309176390828853</v>
      </c>
      <c r="Y11" s="377">
        <f t="shared" si="12"/>
        <v>3.2296462615765797E-2</v>
      </c>
      <c r="Z11" s="377">
        <f t="shared" si="13"/>
        <v>0.1010165196709718</v>
      </c>
      <c r="AA11" s="377">
        <f t="shared" si="14"/>
        <v>8.4121018906180706E-3</v>
      </c>
      <c r="AB11" s="377">
        <f t="shared" si="15"/>
        <v>2.5219932205514724E-2</v>
      </c>
      <c r="AC11" s="377">
        <f t="shared" si="16"/>
        <v>0.13996321970884115</v>
      </c>
      <c r="AD11" s="377">
        <f t="shared" si="17"/>
        <v>1</v>
      </c>
      <c r="AE11" s="377">
        <f t="shared" si="18"/>
        <v>0.86003678029115893</v>
      </c>
      <c r="AF11" s="377"/>
      <c r="AG11" s="390"/>
      <c r="AH11" s="377">
        <f t="shared" si="19"/>
        <v>0.6785895446500001</v>
      </c>
      <c r="AI11" s="377">
        <f t="shared" si="20"/>
        <v>0.62781621767500007</v>
      </c>
      <c r="AJ11" s="377">
        <f t="shared" si="21"/>
        <v>0.66166510232500009</v>
      </c>
      <c r="AK11" s="377">
        <f t="shared" si="22"/>
        <v>0.56656585497500001</v>
      </c>
      <c r="AL11" s="377">
        <f t="shared" si="23"/>
        <v>0.56656585497500001</v>
      </c>
      <c r="AM11" s="377">
        <v>0</v>
      </c>
      <c r="AN11" s="382"/>
      <c r="AP11" s="377">
        <f t="shared" si="24"/>
        <v>0.7295881496795954</v>
      </c>
      <c r="AQ11" s="377">
        <f t="shared" si="25"/>
        <v>3.3961314247200829E-2</v>
      </c>
      <c r="AR11" s="377">
        <f t="shared" si="26"/>
        <v>8.5399808067887772E-2</v>
      </c>
      <c r="AS11" s="377">
        <f t="shared" si="27"/>
        <v>8.8457376643871939E-3</v>
      </c>
      <c r="AT11" s="377">
        <f t="shared" si="28"/>
        <v>2.1096810514056118E-2</v>
      </c>
      <c r="AU11" s="377">
        <f t="shared" si="29"/>
        <v>0.12110817982687265</v>
      </c>
      <c r="AV11" s="377">
        <f t="shared" si="2"/>
        <v>1</v>
      </c>
      <c r="AW11" s="377">
        <f t="shared" si="3"/>
        <v>0.87889182017312739</v>
      </c>
      <c r="AX11" s="389"/>
      <c r="AY11" s="377">
        <f t="shared" ref="AY11:AY48" si="88">0.5*(AP11+AP12)</f>
        <v>0.70103936538263278</v>
      </c>
      <c r="AZ11" s="377">
        <f t="shared" ref="AZ11:AZ48" si="89">0.5*(AQ11+AQ12)</f>
        <v>3.2666802341711709E-2</v>
      </c>
      <c r="BA11" s="377">
        <f t="shared" ref="BA11:BA48" si="90">0.5*(AR11+AR12)</f>
        <v>9.9920177781517044E-2</v>
      </c>
      <c r="BB11" s="377">
        <f t="shared" ref="BB11:BB48" si="91">0.5*(AS11+AS12)</f>
        <v>8.5085624703993314E-3</v>
      </c>
      <c r="BC11" s="377">
        <f t="shared" ref="BC11:BC48" si="92">0.5*(AT11+AT12)</f>
        <v>2.4973607934885567E-2</v>
      </c>
      <c r="BD11" s="377">
        <f t="shared" ref="BD11:BD48" si="93">0.5*(AU11+AU12)</f>
        <v>0.13289148408885348</v>
      </c>
      <c r="BE11" s="377">
        <f t="shared" si="31"/>
        <v>1</v>
      </c>
      <c r="BF11" s="377">
        <f t="shared" si="32"/>
        <v>0.86710851591114646</v>
      </c>
      <c r="BG11" s="452"/>
      <c r="BH11" s="453"/>
      <c r="BJ11" s="383">
        <f t="shared" si="33"/>
        <v>775.87250228887581</v>
      </c>
      <c r="BK11" s="383">
        <f t="shared" si="34"/>
        <v>195.47717330919573</v>
      </c>
      <c r="BL11" s="383">
        <f t="shared" si="35"/>
        <v>139.9383548698539</v>
      </c>
      <c r="BM11" s="383">
        <f t="shared" si="36"/>
        <v>184.7663295781181</v>
      </c>
      <c r="BN11" s="383">
        <f t="shared" si="37"/>
        <v>160.4789604574523</v>
      </c>
      <c r="BO11" s="383">
        <f t="shared" si="38"/>
        <v>0</v>
      </c>
      <c r="BP11" s="383">
        <f t="shared" si="39"/>
        <v>1456.5333205034958</v>
      </c>
      <c r="BQ11" s="445"/>
      <c r="BR11" s="383">
        <f t="shared" si="40"/>
        <v>745.51261127431201</v>
      </c>
      <c r="BS11" s="383">
        <f t="shared" si="41"/>
        <v>188.02612102487575</v>
      </c>
      <c r="BT11" s="383">
        <f t="shared" si="42"/>
        <v>163.04271745145905</v>
      </c>
      <c r="BU11" s="383">
        <f t="shared" si="43"/>
        <v>177.72354520200659</v>
      </c>
      <c r="BV11" s="383">
        <f t="shared" si="44"/>
        <v>189.17262182956668</v>
      </c>
      <c r="BW11" s="383">
        <f t="shared" ref="BW11:BW48" si="94">AC11*0</f>
        <v>0</v>
      </c>
      <c r="BX11" s="385">
        <f t="shared" si="45"/>
        <v>1463.4776167822201</v>
      </c>
      <c r="BY11" s="385"/>
      <c r="CA11" s="383">
        <f t="shared" si="46"/>
        <v>784.76934072239419</v>
      </c>
      <c r="CB11" s="383">
        <f t="shared" si="47"/>
        <v>197.71868698991287</v>
      </c>
      <c r="CC11" s="383">
        <f t="shared" si="48"/>
        <v>137.83702727607056</v>
      </c>
      <c r="CD11" s="383">
        <f t="shared" si="49"/>
        <v>186.88502327761293</v>
      </c>
      <c r="CE11" s="383">
        <f t="shared" si="50"/>
        <v>158.24542765078823</v>
      </c>
      <c r="CF11" s="383">
        <f t="shared" si="51"/>
        <v>0</v>
      </c>
      <c r="CG11" s="383">
        <f t="shared" si="52"/>
        <v>1465.4555059167787</v>
      </c>
      <c r="CH11" s="383"/>
      <c r="CI11" s="398"/>
      <c r="CJ11" s="383">
        <f t="shared" si="53"/>
        <v>754.06131641992681</v>
      </c>
      <c r="CK11" s="383">
        <f t="shared" si="54"/>
        <v>190.1821943682466</v>
      </c>
      <c r="CL11" s="383">
        <f t="shared" si="55"/>
        <v>161.27319934199741</v>
      </c>
      <c r="CM11" s="383">
        <f t="shared" si="56"/>
        <v>179.76148012408433</v>
      </c>
      <c r="CN11" s="383">
        <f t="shared" si="57"/>
        <v>187.32496388522915</v>
      </c>
      <c r="CO11" s="383">
        <f t="shared" si="58"/>
        <v>0</v>
      </c>
      <c r="CP11" s="383">
        <f t="shared" ref="CP11:CP48" si="95">SUM(CJ11:CO11)</f>
        <v>1472.6031541394843</v>
      </c>
      <c r="CR11" s="377">
        <f t="shared" si="59"/>
        <v>0.45693304639733473</v>
      </c>
      <c r="CS11" s="377">
        <f t="shared" si="60"/>
        <v>1.9678167434850753E-2</v>
      </c>
      <c r="CT11" s="377">
        <f t="shared" si="61"/>
        <v>5.3553183214504578E-2</v>
      </c>
      <c r="CU11" s="377">
        <f t="shared" si="62"/>
        <v>4.6254297135576578E-3</v>
      </c>
      <c r="CV11" s="377">
        <f t="shared" si="63"/>
        <v>1.1315491746178833E-2</v>
      </c>
      <c r="CW11" s="377">
        <v>0</v>
      </c>
      <c r="CX11" s="377">
        <f t="shared" si="4"/>
        <v>0.54610531850642652</v>
      </c>
      <c r="CY11" s="377"/>
      <c r="CZ11" s="454"/>
      <c r="DA11" s="377">
        <f t="shared" si="64"/>
        <v>0.43905325629180697</v>
      </c>
      <c r="DB11" s="377">
        <f t="shared" si="65"/>
        <v>1.8928089807194681E-2</v>
      </c>
      <c r="DC11" s="377">
        <f t="shared" si="66"/>
        <v>6.2395020490194825E-2</v>
      </c>
      <c r="DD11" s="377">
        <f t="shared" si="67"/>
        <v>4.4491210528085521E-3</v>
      </c>
      <c r="DE11" s="377">
        <f t="shared" si="68"/>
        <v>1.3338703309229143E-2</v>
      </c>
      <c r="DF11" s="377">
        <v>0</v>
      </c>
      <c r="DG11" s="377">
        <f t="shared" si="69"/>
        <v>0.53816419095123424</v>
      </c>
      <c r="DJ11" s="377">
        <f t="shared" si="70"/>
        <v>0.46217264372387951</v>
      </c>
      <c r="DK11" s="377">
        <f t="shared" si="71"/>
        <v>1.9903814658871592E-2</v>
      </c>
      <c r="DL11" s="377">
        <f t="shared" si="72"/>
        <v>5.2749023541995697E-2</v>
      </c>
      <c r="DM11" s="377">
        <f t="shared" si="73"/>
        <v>4.6784689702985749E-3</v>
      </c>
      <c r="DN11" s="377">
        <f t="shared" si="74"/>
        <v>1.1158003674430464E-2</v>
      </c>
      <c r="DO11" s="377">
        <f t="shared" si="75"/>
        <v>0</v>
      </c>
      <c r="DP11" s="377">
        <f t="shared" ref="DP11:DP48" si="96">DJ11+DK11+DL11+DM11+DN11+DO11</f>
        <v>0.55066195456947575</v>
      </c>
      <c r="DQ11" s="454"/>
      <c r="DS11" s="377">
        <f t="shared" si="76"/>
        <v>0.44408782817496406</v>
      </c>
      <c r="DT11" s="377">
        <f t="shared" si="77"/>
        <v>1.9145135979565714E-2</v>
      </c>
      <c r="DU11" s="377">
        <f t="shared" si="78"/>
        <v>6.1717841402263461E-2</v>
      </c>
      <c r="DV11" s="377">
        <f t="shared" si="79"/>
        <v>4.5001385989404613E-3</v>
      </c>
      <c r="DW11" s="377">
        <f t="shared" si="80"/>
        <v>1.3208423563153293E-2</v>
      </c>
      <c r="DX11" s="377">
        <f t="shared" si="81"/>
        <v>0</v>
      </c>
      <c r="DY11" s="402">
        <f t="shared" ref="DY11:DY48" si="97">DS11+DT11+DU11+DV11+DW11+DX11</f>
        <v>0.54265936771888701</v>
      </c>
    </row>
    <row r="12" spans="2:132" x14ac:dyDescent="0.15">
      <c r="B12" s="461" t="s">
        <v>588</v>
      </c>
      <c r="C12" s="239">
        <v>3</v>
      </c>
      <c r="D12" s="239">
        <v>65</v>
      </c>
      <c r="E12" s="457">
        <f t="shared" si="5"/>
        <v>4.2999999999999997E-2</v>
      </c>
      <c r="F12" s="378">
        <v>1.12E-2</v>
      </c>
      <c r="G12" s="377">
        <f t="shared" si="6"/>
        <v>2.6258500000000004E-2</v>
      </c>
      <c r="H12" s="377">
        <f t="shared" si="7"/>
        <v>5.9081624999999999E-2</v>
      </c>
      <c r="I12" s="377">
        <f t="shared" si="8"/>
        <v>3.9387750000000006E-2</v>
      </c>
      <c r="J12" s="377">
        <f t="shared" si="9"/>
        <v>6.2101352500000012E-2</v>
      </c>
      <c r="K12" s="377">
        <f t="shared" si="10"/>
        <v>3.0459859999999998E-2</v>
      </c>
      <c r="L12" s="377"/>
      <c r="N12" s="377">
        <f t="shared" si="82"/>
        <v>0.66486663384726952</v>
      </c>
      <c r="O12" s="377">
        <f t="shared" si="83"/>
        <v>3.101662644068022E-2</v>
      </c>
      <c r="P12" s="377">
        <f t="shared" si="84"/>
        <v>0.11533130989093263</v>
      </c>
      <c r="Q12" s="377">
        <f t="shared" si="85"/>
        <v>8.078749212456245E-3</v>
      </c>
      <c r="R12" s="377">
        <f t="shared" si="86"/>
        <v>2.9045285935531157E-2</v>
      </c>
      <c r="S12" s="377">
        <f t="shared" si="87"/>
        <v>0.15166139467313031</v>
      </c>
      <c r="T12" s="377">
        <f t="shared" si="0"/>
        <v>1</v>
      </c>
      <c r="U12" s="377">
        <f t="shared" si="1"/>
        <v>0.84833860532686978</v>
      </c>
      <c r="V12" s="390"/>
      <c r="W12" s="377"/>
      <c r="X12" s="377">
        <f t="shared" si="11"/>
        <v>0.63811954781756919</v>
      </c>
      <c r="Y12" s="377">
        <f t="shared" si="12"/>
        <v>2.9802945848056404E-2</v>
      </c>
      <c r="Z12" s="377">
        <f t="shared" si="13"/>
        <v>0.12765204636462776</v>
      </c>
      <c r="AA12" s="377">
        <f t="shared" si="14"/>
        <v>7.7626277557728317E-3</v>
      </c>
      <c r="AB12" s="377">
        <f t="shared" si="15"/>
        <v>3.2391452243830235E-2</v>
      </c>
      <c r="AC12" s="377">
        <f t="shared" si="16"/>
        <v>0.16427137997014357</v>
      </c>
      <c r="AD12" s="377">
        <f t="shared" si="17"/>
        <v>1</v>
      </c>
      <c r="AE12" s="377">
        <f t="shared" si="18"/>
        <v>0.83572862002985648</v>
      </c>
      <c r="AF12" s="377"/>
      <c r="AG12" s="390"/>
      <c r="AH12" s="377">
        <f t="shared" si="19"/>
        <v>0.67466776125000005</v>
      </c>
      <c r="AI12" s="377">
        <f t="shared" si="20"/>
        <v>0.62418786937500004</v>
      </c>
      <c r="AJ12" s="377">
        <f t="shared" si="21"/>
        <v>0.65784113062500005</v>
      </c>
      <c r="AK12" s="377">
        <f t="shared" si="22"/>
        <v>0.56329149187500005</v>
      </c>
      <c r="AL12" s="377">
        <f t="shared" si="23"/>
        <v>0.56329149187500005</v>
      </c>
      <c r="AM12" s="377">
        <v>0</v>
      </c>
      <c r="AN12" s="382"/>
      <c r="AP12" s="377">
        <f t="shared" si="24"/>
        <v>0.67249058108567028</v>
      </c>
      <c r="AQ12" s="377">
        <f t="shared" si="25"/>
        <v>3.1372290436222597E-2</v>
      </c>
      <c r="AR12" s="377">
        <f t="shared" si="26"/>
        <v>0.11444054749514632</v>
      </c>
      <c r="AS12" s="377">
        <f t="shared" si="27"/>
        <v>8.1713872764114688E-3</v>
      </c>
      <c r="AT12" s="377">
        <f t="shared" si="28"/>
        <v>2.8850405355715016E-2</v>
      </c>
      <c r="AU12" s="377">
        <f t="shared" si="29"/>
        <v>0.1446747883508343</v>
      </c>
      <c r="AV12" s="377">
        <f t="shared" si="2"/>
        <v>1</v>
      </c>
      <c r="AW12" s="377">
        <f t="shared" si="3"/>
        <v>0.85532521164916564</v>
      </c>
      <c r="AX12" s="389"/>
      <c r="AY12" s="377">
        <f t="shared" si="88"/>
        <v>0.6454367893765296</v>
      </c>
      <c r="AZ12" s="377">
        <f t="shared" si="89"/>
        <v>3.014469271145321E-2</v>
      </c>
      <c r="BA12" s="377">
        <f t="shared" si="90"/>
        <v>0.12694615192648465</v>
      </c>
      <c r="BB12" s="377">
        <f t="shared" si="91"/>
        <v>7.8516408922854886E-3</v>
      </c>
      <c r="BC12" s="377">
        <f t="shared" si="92"/>
        <v>3.2242982239048368E-2</v>
      </c>
      <c r="BD12" s="377">
        <f t="shared" si="93"/>
        <v>0.1573777428541987</v>
      </c>
      <c r="BE12" s="377">
        <f t="shared" si="31"/>
        <v>1</v>
      </c>
      <c r="BF12" s="377">
        <f t="shared" si="32"/>
        <v>0.8426222571458013</v>
      </c>
      <c r="BG12" s="452"/>
      <c r="BH12" s="453"/>
      <c r="BJ12" s="383">
        <f t="shared" si="33"/>
        <v>690.96881184516758</v>
      </c>
      <c r="BK12" s="383">
        <f t="shared" si="34"/>
        <v>174.46866544981242</v>
      </c>
      <c r="BL12" s="383">
        <f t="shared" si="35"/>
        <v>179.85225123967558</v>
      </c>
      <c r="BM12" s="383">
        <f t="shared" si="36"/>
        <v>164.90894765786965</v>
      </c>
      <c r="BN12" s="383">
        <f t="shared" si="37"/>
        <v>210.4988243494503</v>
      </c>
      <c r="BO12" s="383">
        <f t="shared" si="38"/>
        <v>0</v>
      </c>
      <c r="BP12" s="383">
        <f t="shared" si="39"/>
        <v>1420.6975005419756</v>
      </c>
      <c r="BQ12" s="445"/>
      <c r="BR12" s="383">
        <f t="shared" si="40"/>
        <v>663.17165477124524</v>
      </c>
      <c r="BS12" s="383">
        <f t="shared" si="41"/>
        <v>167.64170657076127</v>
      </c>
      <c r="BT12" s="383">
        <f t="shared" si="42"/>
        <v>199.06569981509202</v>
      </c>
      <c r="BU12" s="383">
        <f t="shared" si="43"/>
        <v>158.45606053601722</v>
      </c>
      <c r="BV12" s="383">
        <f t="shared" si="44"/>
        <v>234.74937142748911</v>
      </c>
      <c r="BW12" s="383">
        <f t="shared" si="94"/>
        <v>0</v>
      </c>
      <c r="BX12" s="385">
        <f t="shared" si="45"/>
        <v>1423.0844931206047</v>
      </c>
      <c r="BY12" s="385"/>
      <c r="CA12" s="383">
        <f t="shared" si="46"/>
        <v>698.89206967870496</v>
      </c>
      <c r="CB12" s="383">
        <f t="shared" si="47"/>
        <v>176.46927704983611</v>
      </c>
      <c r="CC12" s="383">
        <f t="shared" si="48"/>
        <v>178.4631607806032</v>
      </c>
      <c r="CD12" s="383">
        <f t="shared" si="49"/>
        <v>166.79993910198624</v>
      </c>
      <c r="CE12" s="383">
        <f t="shared" si="50"/>
        <v>209.08647354557496</v>
      </c>
      <c r="CF12" s="383">
        <f t="shared" si="51"/>
        <v>0</v>
      </c>
      <c r="CG12" s="383">
        <f t="shared" si="52"/>
        <v>1429.7109201567055</v>
      </c>
      <c r="CH12" s="383"/>
      <c r="CI12" s="398"/>
      <c r="CJ12" s="383">
        <f t="shared" si="53"/>
        <v>670.77616588458295</v>
      </c>
      <c r="CK12" s="383">
        <f t="shared" si="54"/>
        <v>169.56403423887605</v>
      </c>
      <c r="CL12" s="383">
        <f t="shared" si="55"/>
        <v>197.96489983321663</v>
      </c>
      <c r="CM12" s="383">
        <f t="shared" si="56"/>
        <v>160.27305748492554</v>
      </c>
      <c r="CN12" s="383">
        <f t="shared" si="57"/>
        <v>233.67337026409521</v>
      </c>
      <c r="CO12" s="383">
        <f t="shared" si="58"/>
        <v>0</v>
      </c>
      <c r="CP12" s="383">
        <f t="shared" si="95"/>
        <v>1432.2515277056964</v>
      </c>
      <c r="CR12" s="377">
        <f t="shared" si="59"/>
        <v>0.40457910303607303</v>
      </c>
      <c r="CS12" s="377">
        <f t="shared" si="60"/>
        <v>1.7461792949995038E-2</v>
      </c>
      <c r="CT12" s="377">
        <f t="shared" si="61"/>
        <v>6.8430103821599697E-2</v>
      </c>
      <c r="CU12" s="377">
        <f t="shared" si="62"/>
        <v>4.1044622793408652E-3</v>
      </c>
      <c r="CV12" s="377">
        <f t="shared" si="63"/>
        <v>1.4756650736384408E-2</v>
      </c>
      <c r="CW12" s="377">
        <v>0</v>
      </c>
      <c r="CX12" s="377">
        <f t="shared" si="4"/>
        <v>0.50933211282339308</v>
      </c>
      <c r="CY12" s="377"/>
      <c r="CZ12" s="454"/>
      <c r="DA12" s="377">
        <f t="shared" si="64"/>
        <v>0.38830318915525902</v>
      </c>
      <c r="DB12" s="377">
        <f t="shared" si="65"/>
        <v>1.6778512991861734E-2</v>
      </c>
      <c r="DC12" s="377">
        <f t="shared" si="66"/>
        <v>7.5740428111255698E-2</v>
      </c>
      <c r="DD12" s="377">
        <f t="shared" si="67"/>
        <v>3.9438546703502581E-3</v>
      </c>
      <c r="DE12" s="377">
        <f t="shared" si="68"/>
        <v>1.6456692788889109E-2</v>
      </c>
      <c r="DF12" s="377">
        <v>0</v>
      </c>
      <c r="DG12" s="377">
        <f t="shared" si="69"/>
        <v>0.50122267771761575</v>
      </c>
      <c r="DJ12" s="377">
        <f t="shared" si="70"/>
        <v>0.40921836387167559</v>
      </c>
      <c r="DK12" s="377">
        <f t="shared" si="71"/>
        <v>1.7662025269322437E-2</v>
      </c>
      <c r="DL12" s="377">
        <f t="shared" si="72"/>
        <v>6.7901583307251254E-2</v>
      </c>
      <c r="DM12" s="377">
        <f t="shared" si="73"/>
        <v>4.1515276639859447E-3</v>
      </c>
      <c r="DN12" s="377">
        <f t="shared" si="74"/>
        <v>1.4657640361412235E-2</v>
      </c>
      <c r="DO12" s="377">
        <f t="shared" si="75"/>
        <v>0</v>
      </c>
      <c r="DP12" s="377">
        <f t="shared" si="96"/>
        <v>0.51359114047364751</v>
      </c>
      <c r="DQ12" s="454"/>
      <c r="DS12" s="377">
        <f t="shared" si="76"/>
        <v>0.39275581600689097</v>
      </c>
      <c r="DT12" s="377">
        <f t="shared" si="77"/>
        <v>1.6970910220533854E-2</v>
      </c>
      <c r="DU12" s="377">
        <f t="shared" si="78"/>
        <v>7.5321596228266549E-2</v>
      </c>
      <c r="DV12" s="377">
        <f t="shared" si="79"/>
        <v>3.9890783864941753E-3</v>
      </c>
      <c r="DW12" s="377">
        <f t="shared" si="80"/>
        <v>1.6381261615298383E-2</v>
      </c>
      <c r="DX12" s="377">
        <f t="shared" si="81"/>
        <v>0</v>
      </c>
      <c r="DY12" s="402">
        <f t="shared" si="97"/>
        <v>0.5054186624574839</v>
      </c>
    </row>
    <row r="13" spans="2:132" x14ac:dyDescent="0.15">
      <c r="B13" s="461" t="s">
        <v>588</v>
      </c>
      <c r="C13" s="239">
        <v>4</v>
      </c>
      <c r="D13" s="239">
        <v>66</v>
      </c>
      <c r="E13" s="457">
        <f t="shared" si="5"/>
        <v>4.2999999999999997E-2</v>
      </c>
      <c r="F13" s="378">
        <v>1.12E-2</v>
      </c>
      <c r="G13" s="377">
        <f t="shared" si="6"/>
        <v>2.8965499999999998E-2</v>
      </c>
      <c r="H13" s="377">
        <f t="shared" si="7"/>
        <v>6.5172375000000005E-2</v>
      </c>
      <c r="I13" s="377">
        <f>VLOOKUP(D13,prob_dead_pos_reinfarct,4)</f>
        <v>4.3448249999999994E-2</v>
      </c>
      <c r="J13" s="377">
        <f t="shared" si="9"/>
        <v>6.8503407500000002E-2</v>
      </c>
      <c r="K13" s="377">
        <f t="shared" si="10"/>
        <v>3.3599979999999995E-2</v>
      </c>
      <c r="L13" s="377"/>
      <c r="N13" s="377">
        <f t="shared" si="82"/>
        <v>0.61137246178786897</v>
      </c>
      <c r="O13" s="377">
        <f t="shared" si="83"/>
        <v>2.8589265255432587E-2</v>
      </c>
      <c r="P13" s="377">
        <f t="shared" si="84"/>
        <v>0.1399727828383229</v>
      </c>
      <c r="Q13" s="377">
        <f t="shared" si="85"/>
        <v>7.4465062990894185E-3</v>
      </c>
      <c r="R13" s="377">
        <f t="shared" si="86"/>
        <v>3.5737618552129313E-2</v>
      </c>
      <c r="S13" s="377">
        <f t="shared" si="87"/>
        <v>0.17688136526715686</v>
      </c>
      <c r="T13" s="377">
        <f t="shared" si="0"/>
        <v>1</v>
      </c>
      <c r="U13" s="377">
        <f t="shared" si="1"/>
        <v>0.82311863473284319</v>
      </c>
      <c r="V13" s="390"/>
      <c r="W13" s="377"/>
      <c r="X13" s="377">
        <f t="shared" si="11"/>
        <v>0.58594991355245951</v>
      </c>
      <c r="Y13" s="377">
        <f t="shared" si="12"/>
        <v>2.7439140556155477E-2</v>
      </c>
      <c r="Z13" s="377">
        <f t="shared" si="13"/>
        <v>0.15029501407696086</v>
      </c>
      <c r="AA13" s="377">
        <f t="shared" si="14"/>
        <v>7.1469389355567755E-3</v>
      </c>
      <c r="AB13" s="377">
        <f t="shared" si="15"/>
        <v>3.8605424539645515E-2</v>
      </c>
      <c r="AC13" s="377">
        <f t="shared" si="16"/>
        <v>0.19056356833922197</v>
      </c>
      <c r="AD13" s="377">
        <f t="shared" si="17"/>
        <v>1</v>
      </c>
      <c r="AE13" s="377">
        <f t="shared" si="18"/>
        <v>0.80943643166077817</v>
      </c>
      <c r="AF13" s="377"/>
      <c r="AG13" s="390"/>
      <c r="AH13" s="377">
        <f t="shared" si="19"/>
        <v>0.67069006905000006</v>
      </c>
      <c r="AI13" s="377">
        <f t="shared" si="20"/>
        <v>0.62050779547500012</v>
      </c>
      <c r="AJ13" s="377">
        <f t="shared" si="21"/>
        <v>0.65396264452499997</v>
      </c>
      <c r="AK13" s="377">
        <f t="shared" si="22"/>
        <v>0.55997044957499997</v>
      </c>
      <c r="AL13" s="377">
        <f t="shared" si="23"/>
        <v>0.55997044957499997</v>
      </c>
      <c r="AM13" s="377">
        <v>0</v>
      </c>
      <c r="AN13" s="382"/>
      <c r="AP13" s="377">
        <f t="shared" si="24"/>
        <v>0.61838299766738891</v>
      </c>
      <c r="AQ13" s="377">
        <f t="shared" si="25"/>
        <v>2.8917094986683819E-2</v>
      </c>
      <c r="AR13" s="377">
        <f t="shared" si="26"/>
        <v>0.13945175635782298</v>
      </c>
      <c r="AS13" s="377">
        <f t="shared" si="27"/>
        <v>7.5318945081595074E-3</v>
      </c>
      <c r="AT13" s="377">
        <f t="shared" si="28"/>
        <v>3.5635559122381713E-2</v>
      </c>
      <c r="AU13" s="377">
        <f t="shared" si="29"/>
        <v>0.17008069735756312</v>
      </c>
      <c r="AV13" s="377">
        <f t="shared" si="2"/>
        <v>1</v>
      </c>
      <c r="AW13" s="377">
        <f t="shared" si="3"/>
        <v>0.82991930264243685</v>
      </c>
      <c r="AX13" s="389"/>
      <c r="AY13" s="377">
        <f t="shared" si="88"/>
        <v>0.59266893207113536</v>
      </c>
      <c r="AZ13" s="377">
        <f t="shared" si="89"/>
        <v>2.775378194319077E-2</v>
      </c>
      <c r="BA13" s="377">
        <f t="shared" si="90"/>
        <v>0.14993853858538658</v>
      </c>
      <c r="BB13" s="377">
        <f t="shared" si="91"/>
        <v>7.2288920410171313E-3</v>
      </c>
      <c r="BC13" s="377">
        <f t="shared" si="92"/>
        <v>3.8544849120191314E-2</v>
      </c>
      <c r="BD13" s="377">
        <f t="shared" si="93"/>
        <v>0.18386500623907895</v>
      </c>
      <c r="BE13" s="377">
        <f t="shared" si="31"/>
        <v>1.0000000000000002</v>
      </c>
      <c r="BF13" s="377">
        <f t="shared" si="32"/>
        <v>0.81613499376092125</v>
      </c>
      <c r="BG13" s="452"/>
      <c r="BH13" s="453"/>
      <c r="BJ13" s="383">
        <f t="shared" si="33"/>
        <v>613.88840357229287</v>
      </c>
      <c r="BK13" s="383">
        <f t="shared" si="34"/>
        <v>155.3765678180774</v>
      </c>
      <c r="BL13" s="383">
        <f t="shared" si="35"/>
        <v>210.89772791353477</v>
      </c>
      <c r="BM13" s="383">
        <f t="shared" si="36"/>
        <v>146.86296948228483</v>
      </c>
      <c r="BN13" s="383">
        <f t="shared" si="37"/>
        <v>250.24146715509943</v>
      </c>
      <c r="BO13" s="383">
        <f t="shared" si="38"/>
        <v>0</v>
      </c>
      <c r="BP13" s="383">
        <f t="shared" si="39"/>
        <v>1377.2671359412893</v>
      </c>
      <c r="BQ13" s="445"/>
      <c r="BR13" s="383">
        <f t="shared" si="40"/>
        <v>588.36123555864731</v>
      </c>
      <c r="BS13" s="383">
        <f t="shared" si="41"/>
        <v>149.12588502718202</v>
      </c>
      <c r="BT13" s="383">
        <f t="shared" si="42"/>
        <v>226.45028799760021</v>
      </c>
      <c r="BU13" s="383">
        <f t="shared" si="43"/>
        <v>140.9547823672396</v>
      </c>
      <c r="BV13" s="383">
        <f t="shared" si="44"/>
        <v>270.32237928374133</v>
      </c>
      <c r="BW13" s="383">
        <f t="shared" si="94"/>
        <v>0</v>
      </c>
      <c r="BX13" s="385">
        <f t="shared" si="45"/>
        <v>1375.2145702344105</v>
      </c>
      <c r="BY13" s="385"/>
      <c r="CA13" s="383">
        <f t="shared" si="46"/>
        <v>620.92778945938255</v>
      </c>
      <c r="CB13" s="383">
        <f t="shared" si="47"/>
        <v>157.15825258735842</v>
      </c>
      <c r="CC13" s="383">
        <f t="shared" si="48"/>
        <v>210.11269457568122</v>
      </c>
      <c r="CD13" s="383">
        <f t="shared" si="49"/>
        <v>148.54702982402398</v>
      </c>
      <c r="CE13" s="383">
        <f t="shared" si="50"/>
        <v>249.52682800252694</v>
      </c>
      <c r="CF13" s="383">
        <f t="shared" si="51"/>
        <v>0</v>
      </c>
      <c r="CG13" s="383">
        <f t="shared" si="52"/>
        <v>1386.272594448973</v>
      </c>
      <c r="CH13" s="383"/>
      <c r="CI13" s="398"/>
      <c r="CJ13" s="383">
        <f t="shared" si="53"/>
        <v>595.10790442224049</v>
      </c>
      <c r="CK13" s="383">
        <f t="shared" si="54"/>
        <v>150.83589395445844</v>
      </c>
      <c r="CL13" s="383">
        <f t="shared" si="55"/>
        <v>225.91318450001012</v>
      </c>
      <c r="CM13" s="383">
        <f t="shared" si="56"/>
        <v>142.57109422447587</v>
      </c>
      <c r="CN13" s="383">
        <f t="shared" si="57"/>
        <v>269.89821890451401</v>
      </c>
      <c r="CO13" s="383">
        <f t="shared" si="58"/>
        <v>0</v>
      </c>
      <c r="CP13" s="383">
        <f t="shared" si="95"/>
        <v>1384.3262960056991</v>
      </c>
      <c r="CR13" s="377">
        <f t="shared" si="59"/>
        <v>0.35732742471257212</v>
      </c>
      <c r="CS13" s="377">
        <f t="shared" si="60"/>
        <v>1.545926482365622E-2</v>
      </c>
      <c r="CT13" s="377">
        <f t="shared" si="61"/>
        <v>7.9769182122377907E-2</v>
      </c>
      <c r="CU13" s="377">
        <f t="shared" si="62"/>
        <v>3.6337602625769348E-3</v>
      </c>
      <c r="CV13" s="377">
        <f t="shared" si="63"/>
        <v>1.7439310860415124E-2</v>
      </c>
      <c r="CW13" s="377">
        <v>0</v>
      </c>
      <c r="CX13" s="377">
        <f t="shared" si="4"/>
        <v>0.47362894278159828</v>
      </c>
      <c r="CY13" s="377"/>
      <c r="CZ13" s="454"/>
      <c r="DA13" s="377">
        <f t="shared" si="64"/>
        <v>0.34246876774260543</v>
      </c>
      <c r="DB13" s="377">
        <f t="shared" si="65"/>
        <v>1.4837350194249149E-2</v>
      </c>
      <c r="DC13" s="377">
        <f t="shared" si="66"/>
        <v>8.5651725334619982E-2</v>
      </c>
      <c r="DD13" s="377">
        <f t="shared" si="67"/>
        <v>3.4875768125336615E-3</v>
      </c>
      <c r="DE13" s="377">
        <f t="shared" si="68"/>
        <v>1.8838748263629423E-2</v>
      </c>
      <c r="DF13" s="377">
        <v>0</v>
      </c>
      <c r="DG13" s="377">
        <f t="shared" si="69"/>
        <v>0.46528416834763764</v>
      </c>
      <c r="DJ13" s="377">
        <f t="shared" si="70"/>
        <v>0.361424856128371</v>
      </c>
      <c r="DK13" s="377">
        <f t="shared" si="71"/>
        <v>1.5636534389250171E-2</v>
      </c>
      <c r="DL13" s="377">
        <f t="shared" si="72"/>
        <v>7.9472253995560668E-2</v>
      </c>
      <c r="DM13" s="377">
        <f t="shared" si="73"/>
        <v>3.6754281627369659E-3</v>
      </c>
      <c r="DN13" s="377">
        <f t="shared" si="74"/>
        <v>1.7389507706379866E-2</v>
      </c>
      <c r="DO13" s="377">
        <f t="shared" si="75"/>
        <v>0</v>
      </c>
      <c r="DP13" s="377">
        <f t="shared" si="96"/>
        <v>0.47759858038229869</v>
      </c>
      <c r="DQ13" s="454"/>
      <c r="DS13" s="377">
        <f t="shared" si="76"/>
        <v>0.34639581669219899</v>
      </c>
      <c r="DT13" s="377">
        <f t="shared" si="77"/>
        <v>1.5007488338171431E-2</v>
      </c>
      <c r="DU13" s="377">
        <f t="shared" si="78"/>
        <v>8.544857328010666E-2</v>
      </c>
      <c r="DV13" s="377">
        <f t="shared" si="79"/>
        <v>3.5275684443211797E-3</v>
      </c>
      <c r="DW13" s="377">
        <f t="shared" si="80"/>
        <v>1.8809188555591771E-2</v>
      </c>
      <c r="DX13" s="377">
        <f t="shared" si="81"/>
        <v>0</v>
      </c>
      <c r="DY13" s="402">
        <f t="shared" si="97"/>
        <v>0.46918863531039007</v>
      </c>
      <c r="EB13" s="564"/>
    </row>
    <row r="14" spans="2:132" x14ac:dyDescent="0.15">
      <c r="B14" s="461" t="s">
        <v>588</v>
      </c>
      <c r="C14" s="239">
        <v>5</v>
      </c>
      <c r="D14" s="239">
        <v>67</v>
      </c>
      <c r="E14" s="457">
        <f t="shared" si="5"/>
        <v>4.2999999999999997E-2</v>
      </c>
      <c r="F14" s="378">
        <v>1.12E-2</v>
      </c>
      <c r="G14" s="377">
        <f t="shared" si="6"/>
        <v>3.1921999999999999E-2</v>
      </c>
      <c r="H14" s="377">
        <f t="shared" si="7"/>
        <v>7.1824499999999999E-2</v>
      </c>
      <c r="I14" s="377">
        <f t="shared" si="8"/>
        <v>4.7882999999999995E-2</v>
      </c>
      <c r="J14" s="377">
        <f t="shared" si="9"/>
        <v>7.5495530000000005E-2</v>
      </c>
      <c r="K14" s="377">
        <f t="shared" si="10"/>
        <v>3.7029519999999996E-2</v>
      </c>
      <c r="L14" s="377"/>
      <c r="N14" s="377">
        <f t="shared" si="82"/>
        <v>0.56052736531704994</v>
      </c>
      <c r="O14" s="377">
        <f t="shared" si="83"/>
        <v>2.6289015856878362E-2</v>
      </c>
      <c r="P14" s="377">
        <f t="shared" si="84"/>
        <v>0.16061724531559882</v>
      </c>
      <c r="Q14" s="377">
        <f t="shared" si="85"/>
        <v>6.8473715720241326E-3</v>
      </c>
      <c r="R14" s="377">
        <f t="shared" si="86"/>
        <v>4.1473230527161717E-2</v>
      </c>
      <c r="S14" s="377">
        <f t="shared" si="87"/>
        <v>0.20424577141128708</v>
      </c>
      <c r="T14" s="377">
        <f t="shared" si="0"/>
        <v>1</v>
      </c>
      <c r="U14" s="377">
        <f t="shared" si="1"/>
        <v>0.79575422858871292</v>
      </c>
      <c r="V14" s="390"/>
      <c r="W14" s="377"/>
      <c r="X14" s="377">
        <f t="shared" si="11"/>
        <v>0.53639049643913239</v>
      </c>
      <c r="Y14" s="377">
        <f t="shared" si="12"/>
        <v>2.5195846282755754E-2</v>
      </c>
      <c r="Z14" s="377">
        <f t="shared" si="13"/>
        <v>0.16897223775560841</v>
      </c>
      <c r="AA14" s="377">
        <f t="shared" si="14"/>
        <v>6.562639031787546E-3</v>
      </c>
      <c r="AB14" s="377">
        <f t="shared" si="15"/>
        <v>4.3870576430570268E-2</v>
      </c>
      <c r="AC14" s="377">
        <f t="shared" si="16"/>
        <v>0.21900820406014562</v>
      </c>
      <c r="AD14" s="377">
        <f t="shared" si="17"/>
        <v>1</v>
      </c>
      <c r="AE14" s="377">
        <f t="shared" si="18"/>
        <v>0.78099179593985435</v>
      </c>
      <c r="AF14" s="377"/>
      <c r="AG14" s="390"/>
      <c r="AH14" s="377">
        <f t="shared" si="19"/>
        <v>0.66665646805000001</v>
      </c>
      <c r="AI14" s="377">
        <f t="shared" si="20"/>
        <v>0.6167759959750001</v>
      </c>
      <c r="AJ14" s="377">
        <f t="shared" si="21"/>
        <v>0.65002964402499996</v>
      </c>
      <c r="AK14" s="377">
        <f t="shared" si="22"/>
        <v>0.55660272807500011</v>
      </c>
      <c r="AL14" s="377">
        <f t="shared" si="23"/>
        <v>0.55660272807500011</v>
      </c>
      <c r="AM14" s="377">
        <v>0</v>
      </c>
      <c r="AN14" s="382"/>
      <c r="AP14" s="377">
        <f t="shared" si="24"/>
        <v>0.56695486647488169</v>
      </c>
      <c r="AQ14" s="377">
        <f t="shared" si="25"/>
        <v>2.6590468899697722E-2</v>
      </c>
      <c r="AR14" s="377">
        <f t="shared" si="26"/>
        <v>0.16042532081295022</v>
      </c>
      <c r="AS14" s="377">
        <f t="shared" si="27"/>
        <v>6.9258895738747561E-3</v>
      </c>
      <c r="AT14" s="377">
        <f t="shared" si="28"/>
        <v>4.1454139118000916E-2</v>
      </c>
      <c r="AU14" s="377">
        <f t="shared" si="29"/>
        <v>0.19764931512059478</v>
      </c>
      <c r="AV14" s="377">
        <f t="shared" si="2"/>
        <v>1</v>
      </c>
      <c r="AW14" s="377">
        <f t="shared" si="3"/>
        <v>0.80235068487940531</v>
      </c>
      <c r="AX14" s="389"/>
      <c r="AY14" s="377">
        <f t="shared" si="88"/>
        <v>0.54254122296960683</v>
      </c>
      <c r="AZ14" s="377">
        <f t="shared" si="89"/>
        <v>2.5484764079058815E-2</v>
      </c>
      <c r="BA14" s="377">
        <f t="shared" si="90"/>
        <v>0.16892480887781267</v>
      </c>
      <c r="BB14" s="377">
        <f t="shared" si="91"/>
        <v>6.6378920391967156E-3</v>
      </c>
      <c r="BC14" s="377">
        <f t="shared" si="92"/>
        <v>4.3888133616111324E-2</v>
      </c>
      <c r="BD14" s="377">
        <f t="shared" si="93"/>
        <v>0.21252317841821375</v>
      </c>
      <c r="BE14" s="377">
        <f t="shared" si="31"/>
        <v>1.0000000000000002</v>
      </c>
      <c r="BF14" s="377">
        <f t="shared" si="32"/>
        <v>0.78747682158178645</v>
      </c>
      <c r="BG14" s="452"/>
      <c r="BH14" s="453"/>
      <c r="BJ14" s="383">
        <f t="shared" si="33"/>
        <v>543.80103144444593</v>
      </c>
      <c r="BK14" s="383">
        <f t="shared" si="34"/>
        <v>138.04367365824794</v>
      </c>
      <c r="BL14" s="383">
        <f t="shared" si="35"/>
        <v>233.8191768904982</v>
      </c>
      <c r="BM14" s="383">
        <f t="shared" si="36"/>
        <v>130.47980217603325</v>
      </c>
      <c r="BN14" s="383">
        <f t="shared" si="37"/>
        <v>280.58289025351047</v>
      </c>
      <c r="BO14" s="383">
        <f t="shared" si="38"/>
        <v>0</v>
      </c>
      <c r="BP14" s="383">
        <f t="shared" si="39"/>
        <v>1326.7265744227357</v>
      </c>
      <c r="BQ14" s="445"/>
      <c r="BR14" s="383">
        <f t="shared" si="40"/>
        <v>520.3844152294165</v>
      </c>
      <c r="BS14" s="383">
        <f t="shared" si="41"/>
        <v>132.30343808743544</v>
      </c>
      <c r="BT14" s="383">
        <f t="shared" si="42"/>
        <v>245.98198949141664</v>
      </c>
      <c r="BU14" s="383">
        <f t="shared" si="43"/>
        <v>125.0540931820978</v>
      </c>
      <c r="BV14" s="383">
        <f t="shared" si="44"/>
        <v>296.80188824247227</v>
      </c>
      <c r="BW14" s="383">
        <f t="shared" si="94"/>
        <v>0</v>
      </c>
      <c r="BX14" s="385">
        <f t="shared" si="45"/>
        <v>1320.5258242328387</v>
      </c>
      <c r="BY14" s="385"/>
      <c r="CA14" s="383">
        <f t="shared" si="46"/>
        <v>550.03673370540901</v>
      </c>
      <c r="CB14" s="383">
        <f t="shared" si="47"/>
        <v>139.62660417541883</v>
      </c>
      <c r="CC14" s="383">
        <f t="shared" si="48"/>
        <v>233.53978205250158</v>
      </c>
      <c r="CD14" s="383">
        <f t="shared" si="49"/>
        <v>131.97599867142779</v>
      </c>
      <c r="CE14" s="383">
        <f t="shared" si="50"/>
        <v>280.45372928164358</v>
      </c>
      <c r="CF14" s="383">
        <f t="shared" si="51"/>
        <v>0</v>
      </c>
      <c r="CG14" s="383">
        <f t="shared" si="52"/>
        <v>1335.6328478864007</v>
      </c>
      <c r="CH14" s="383"/>
      <c r="CI14" s="398"/>
      <c r="CJ14" s="383">
        <f t="shared" si="53"/>
        <v>526.35160191532043</v>
      </c>
      <c r="CK14" s="383">
        <f t="shared" si="54"/>
        <v>133.82054600064342</v>
      </c>
      <c r="CL14" s="383">
        <f t="shared" si="55"/>
        <v>245.9129447188877</v>
      </c>
      <c r="CM14" s="383">
        <f t="shared" si="56"/>
        <v>126.48807371267348</v>
      </c>
      <c r="CN14" s="383">
        <f t="shared" si="57"/>
        <v>296.92066958169301</v>
      </c>
      <c r="CO14" s="383">
        <f t="shared" si="58"/>
        <v>0</v>
      </c>
      <c r="CP14" s="383">
        <f t="shared" si="95"/>
        <v>1329.4938359292182</v>
      </c>
      <c r="CR14" s="377">
        <f t="shared" si="59"/>
        <v>0.31462785403096133</v>
      </c>
      <c r="CS14" s="377">
        <f t="shared" si="60"/>
        <v>1.3652118291872968E-2</v>
      </c>
      <c r="CT14" s="377">
        <f t="shared" si="61"/>
        <v>8.7907025870699054E-2</v>
      </c>
      <c r="CU14" s="377">
        <f t="shared" si="62"/>
        <v>3.2089834487533512E-3</v>
      </c>
      <c r="CV14" s="377">
        <f t="shared" si="63"/>
        <v>1.9436203940171561E-2</v>
      </c>
      <c r="CW14" s="377">
        <v>0</v>
      </c>
      <c r="CX14" s="377">
        <f t="shared" si="4"/>
        <v>0.43883218558245823</v>
      </c>
      <c r="CY14" s="377"/>
      <c r="CZ14" s="454"/>
      <c r="DA14" s="377">
        <f t="shared" si="64"/>
        <v>0.30107966400853409</v>
      </c>
      <c r="DB14" s="377">
        <f t="shared" si="65"/>
        <v>1.3084425669971587E-2</v>
      </c>
      <c r="DC14" s="377">
        <f t="shared" si="66"/>
        <v>9.2479776045378395E-2</v>
      </c>
      <c r="DD14" s="377">
        <f t="shared" si="67"/>
        <v>3.0755450922497029E-3</v>
      </c>
      <c r="DE14" s="377">
        <f t="shared" si="68"/>
        <v>2.0559707060172475E-2</v>
      </c>
      <c r="DF14" s="377">
        <v>0</v>
      </c>
      <c r="DG14" s="377">
        <f t="shared" si="69"/>
        <v>0.43027911787630624</v>
      </c>
      <c r="DJ14" s="377">
        <f t="shared" si="70"/>
        <v>0.3182356545081535</v>
      </c>
      <c r="DK14" s="377">
        <f t="shared" si="71"/>
        <v>1.3808665521423902E-2</v>
      </c>
      <c r="DL14" s="377">
        <f t="shared" si="72"/>
        <v>8.7801984147524187E-2</v>
      </c>
      <c r="DM14" s="377">
        <f t="shared" si="73"/>
        <v>3.2457804833114384E-3</v>
      </c>
      <c r="DN14" s="377">
        <f t="shared" si="74"/>
        <v>1.9427256855094319E-2</v>
      </c>
      <c r="DO14" s="377">
        <f t="shared" si="75"/>
        <v>0</v>
      </c>
      <c r="DP14" s="377">
        <f t="shared" si="96"/>
        <v>0.44251934151550731</v>
      </c>
      <c r="DQ14" s="454"/>
      <c r="DS14" s="377">
        <f t="shared" si="76"/>
        <v>0.30453210898937794</v>
      </c>
      <c r="DT14" s="377">
        <f t="shared" si="77"/>
        <v>1.3234463235212914E-2</v>
      </c>
      <c r="DU14" s="377">
        <f t="shared" si="78"/>
        <v>9.2453817863993731E-2</v>
      </c>
      <c r="DV14" s="377">
        <f t="shared" si="79"/>
        <v>3.1108120049190197E-3</v>
      </c>
      <c r="DW14" s="377">
        <f t="shared" si="80"/>
        <v>2.0567935139693985E-2</v>
      </c>
      <c r="DX14" s="377">
        <f t="shared" si="81"/>
        <v>0</v>
      </c>
      <c r="DY14" s="402">
        <f t="shared" si="97"/>
        <v>0.43389913723319756</v>
      </c>
    </row>
    <row r="15" spans="2:132" x14ac:dyDescent="0.15">
      <c r="B15" s="461" t="s">
        <v>588</v>
      </c>
      <c r="C15" s="239">
        <v>6</v>
      </c>
      <c r="D15" s="239">
        <v>68</v>
      </c>
      <c r="E15" s="457">
        <f t="shared" si="5"/>
        <v>4.2999999999999997E-2</v>
      </c>
      <c r="F15" s="378">
        <v>1.12E-2</v>
      </c>
      <c r="G15" s="377">
        <f t="shared" si="6"/>
        <v>3.5422500000000003E-2</v>
      </c>
      <c r="H15" s="377">
        <f t="shared" si="7"/>
        <v>7.9700624999999997E-2</v>
      </c>
      <c r="I15" s="377">
        <f t="shared" si="8"/>
        <v>5.3133750000000007E-2</v>
      </c>
      <c r="J15" s="377">
        <f t="shared" si="9"/>
        <v>8.37742125E-2</v>
      </c>
      <c r="K15" s="377">
        <f t="shared" si="10"/>
        <v>4.1090099999999997E-2</v>
      </c>
      <c r="L15" s="377"/>
      <c r="N15" s="377">
        <f t="shared" si="82"/>
        <v>0.51225362756121495</v>
      </c>
      <c r="O15" s="377">
        <f t="shared" si="83"/>
        <v>2.4102676708633145E-2</v>
      </c>
      <c r="P15" s="377">
        <f t="shared" si="84"/>
        <v>0.177327230195618</v>
      </c>
      <c r="Q15" s="377">
        <f t="shared" si="85"/>
        <v>6.2779064915509594E-3</v>
      </c>
      <c r="R15" s="377">
        <f t="shared" si="86"/>
        <v>4.6267922333978813E-2</v>
      </c>
      <c r="S15" s="377">
        <f t="shared" si="87"/>
        <v>0.23377063670900416</v>
      </c>
      <c r="T15" s="377">
        <f t="shared" si="0"/>
        <v>1</v>
      </c>
      <c r="U15" s="377">
        <f t="shared" si="1"/>
        <v>0.76622936329099589</v>
      </c>
      <c r="V15" s="390"/>
      <c r="W15" s="377"/>
      <c r="X15" s="377">
        <f t="shared" si="11"/>
        <v>0.48929890219316247</v>
      </c>
      <c r="Y15" s="377">
        <f t="shared" si="12"/>
        <v>2.3064791346882694E-2</v>
      </c>
      <c r="Z15" s="377">
        <f t="shared" si="13"/>
        <v>0.18370703899230584</v>
      </c>
      <c r="AA15" s="377">
        <f t="shared" si="14"/>
        <v>6.0075735601182838E-3</v>
      </c>
      <c r="AB15" s="377">
        <f t="shared" si="15"/>
        <v>4.8193335465767421E-2</v>
      </c>
      <c r="AC15" s="377">
        <f t="shared" si="16"/>
        <v>0.2497283584417633</v>
      </c>
      <c r="AD15" s="377">
        <f t="shared" si="17"/>
        <v>1</v>
      </c>
      <c r="AE15" s="377">
        <f t="shared" si="18"/>
        <v>0.75027164155823667</v>
      </c>
      <c r="AF15" s="377"/>
      <c r="AG15" s="390"/>
      <c r="AH15" s="377">
        <f t="shared" si="19"/>
        <v>0.66256695824999989</v>
      </c>
      <c r="AI15" s="377">
        <f t="shared" si="20"/>
        <v>0.61299247087500008</v>
      </c>
      <c r="AJ15" s="377">
        <f t="shared" si="21"/>
        <v>0.64604212912500003</v>
      </c>
      <c r="AK15" s="377">
        <f t="shared" si="22"/>
        <v>0.55318832737500001</v>
      </c>
      <c r="AL15" s="377">
        <f t="shared" si="23"/>
        <v>0.55318832737500001</v>
      </c>
      <c r="AM15" s="377">
        <v>0</v>
      </c>
      <c r="AN15" s="382"/>
      <c r="AP15" s="377">
        <f t="shared" si="24"/>
        <v>0.51812757946433197</v>
      </c>
      <c r="AQ15" s="377">
        <f t="shared" si="25"/>
        <v>2.4379059258419912E-2</v>
      </c>
      <c r="AR15" s="377">
        <f t="shared" si="26"/>
        <v>0.17742429694267511</v>
      </c>
      <c r="AS15" s="377">
        <f t="shared" si="27"/>
        <v>6.3498945045186751E-3</v>
      </c>
      <c r="AT15" s="377">
        <f t="shared" si="28"/>
        <v>4.6322128114221726E-2</v>
      </c>
      <c r="AU15" s="377">
        <f t="shared" si="29"/>
        <v>0.22739704171583272</v>
      </c>
      <c r="AV15" s="377">
        <f t="shared" si="2"/>
        <v>1.0000000000000002</v>
      </c>
      <c r="AW15" s="377">
        <f t="shared" si="3"/>
        <v>0.77260295828416747</v>
      </c>
      <c r="AX15" s="389"/>
      <c r="AY15" s="377">
        <f t="shared" si="88"/>
        <v>0.49490963496906093</v>
      </c>
      <c r="AZ15" s="377">
        <f t="shared" si="89"/>
        <v>2.3329272587693094E-2</v>
      </c>
      <c r="BA15" s="377">
        <f t="shared" si="90"/>
        <v>0.18392870432314207</v>
      </c>
      <c r="BB15" s="377">
        <f t="shared" si="91"/>
        <v>6.0764616972595964E-3</v>
      </c>
      <c r="BC15" s="377">
        <f t="shared" si="92"/>
        <v>4.8279406222480906E-2</v>
      </c>
      <c r="BD15" s="377">
        <f t="shared" si="93"/>
        <v>0.24347652020036348</v>
      </c>
      <c r="BE15" s="377">
        <f t="shared" si="31"/>
        <v>1</v>
      </c>
      <c r="BF15" s="377">
        <f t="shared" si="32"/>
        <v>0.75652347979963663</v>
      </c>
      <c r="BG15" s="452"/>
      <c r="BH15" s="453"/>
      <c r="BJ15" s="383">
        <f t="shared" si="33"/>
        <v>480.16212465158191</v>
      </c>
      <c r="BK15" s="383">
        <f t="shared" si="34"/>
        <v>122.28328745567434</v>
      </c>
      <c r="BL15" s="383">
        <f t="shared" si="35"/>
        <v>249.41526772206288</v>
      </c>
      <c r="BM15" s="383">
        <f t="shared" si="36"/>
        <v>115.5829798919443</v>
      </c>
      <c r="BN15" s="383">
        <f t="shared" si="37"/>
        <v>302.43563887095075</v>
      </c>
      <c r="BO15" s="383">
        <f t="shared" si="38"/>
        <v>0</v>
      </c>
      <c r="BP15" s="383">
        <f t="shared" si="39"/>
        <v>1269.8792985922144</v>
      </c>
      <c r="BQ15" s="445"/>
      <c r="BR15" s="383">
        <f t="shared" si="40"/>
        <v>458.64545964328869</v>
      </c>
      <c r="BS15" s="383">
        <f t="shared" si="41"/>
        <v>117.01764681454554</v>
      </c>
      <c r="BT15" s="383">
        <f t="shared" si="42"/>
        <v>258.38863135767667</v>
      </c>
      <c r="BU15" s="383">
        <f t="shared" si="43"/>
        <v>110.60586119481728</v>
      </c>
      <c r="BV15" s="383">
        <f t="shared" si="44"/>
        <v>315.02132504893933</v>
      </c>
      <c r="BW15" s="383">
        <f t="shared" si="94"/>
        <v>0</v>
      </c>
      <c r="BX15" s="385">
        <f t="shared" si="45"/>
        <v>1259.6789240592675</v>
      </c>
      <c r="BY15" s="385"/>
      <c r="CA15" s="383">
        <f t="shared" si="46"/>
        <v>485.66808707751863</v>
      </c>
      <c r="CB15" s="383">
        <f t="shared" si="47"/>
        <v>123.68549548393045</v>
      </c>
      <c r="CC15" s="383">
        <f t="shared" si="48"/>
        <v>249.55179457514379</v>
      </c>
      <c r="CD15" s="383">
        <f t="shared" si="49"/>
        <v>116.90835628397986</v>
      </c>
      <c r="CE15" s="383">
        <f t="shared" si="50"/>
        <v>302.78996123839846</v>
      </c>
      <c r="CF15" s="383">
        <f t="shared" si="51"/>
        <v>0</v>
      </c>
      <c r="CG15" s="383">
        <f t="shared" si="52"/>
        <v>1278.6036946589713</v>
      </c>
      <c r="CH15" s="383"/>
      <c r="CI15" s="398"/>
      <c r="CJ15" s="383">
        <f t="shared" si="53"/>
        <v>463.90469301046625</v>
      </c>
      <c r="CK15" s="383">
        <f t="shared" si="54"/>
        <v>118.35947436289693</v>
      </c>
      <c r="CL15" s="383">
        <f t="shared" si="55"/>
        <v>258.70040929372306</v>
      </c>
      <c r="CM15" s="383">
        <f t="shared" si="56"/>
        <v>111.87416555403541</v>
      </c>
      <c r="CN15" s="383">
        <f t="shared" si="57"/>
        <v>315.58393652967209</v>
      </c>
      <c r="CO15" s="383">
        <f t="shared" si="58"/>
        <v>0</v>
      </c>
      <c r="CP15" s="383">
        <f t="shared" si="95"/>
        <v>1268.4226787507937</v>
      </c>
      <c r="CR15" s="377">
        <f t="shared" si="59"/>
        <v>0.27610401239834897</v>
      </c>
      <c r="CS15" s="377">
        <f t="shared" si="60"/>
        <v>1.2019276250982477E-2</v>
      </c>
      <c r="CT15" s="377">
        <f t="shared" si="61"/>
        <v>9.3195334518574077E-2</v>
      </c>
      <c r="CU15" s="377">
        <f t="shared" si="62"/>
        <v>2.8251775827607141E-3</v>
      </c>
      <c r="CV15" s="377">
        <f t="shared" si="63"/>
        <v>2.0821446951271409E-2</v>
      </c>
      <c r="CW15" s="377">
        <v>0</v>
      </c>
      <c r="CX15" s="377">
        <f t="shared" si="4"/>
        <v>0.4049652477019377</v>
      </c>
      <c r="CY15" s="377"/>
      <c r="CZ15" s="454"/>
      <c r="DA15" s="377">
        <f t="shared" si="64"/>
        <v>0.26373144647276342</v>
      </c>
      <c r="DB15" s="377">
        <f t="shared" si="65"/>
        <v>1.1501714196338921E-2</v>
      </c>
      <c r="DC15" s="377">
        <f t="shared" si="66"/>
        <v>9.6548279321895983E-2</v>
      </c>
      <c r="DD15" s="377">
        <f t="shared" si="67"/>
        <v>2.7035226108694551E-3</v>
      </c>
      <c r="DE15" s="377">
        <f t="shared" si="68"/>
        <v>2.1687919560381328E-2</v>
      </c>
      <c r="DF15" s="377">
        <v>0</v>
      </c>
      <c r="DG15" s="377">
        <f t="shared" si="69"/>
        <v>0.39617288216224916</v>
      </c>
      <c r="DJ15" s="377">
        <f t="shared" si="70"/>
        <v>0.27927006452921788</v>
      </c>
      <c r="DK15" s="377">
        <f t="shared" si="71"/>
        <v>1.2157099873520144E-2</v>
      </c>
      <c r="DL15" s="377">
        <f t="shared" si="72"/>
        <v>9.3246348499634063E-2</v>
      </c>
      <c r="DM15" s="377">
        <f t="shared" si="73"/>
        <v>2.8575735607412069E-3</v>
      </c>
      <c r="DN15" s="377">
        <f t="shared" si="74"/>
        <v>2.084584058558317E-2</v>
      </c>
      <c r="DO15" s="377">
        <f t="shared" si="75"/>
        <v>0</v>
      </c>
      <c r="DP15" s="377">
        <f t="shared" si="96"/>
        <v>0.40837692704869644</v>
      </c>
      <c r="DQ15" s="454"/>
      <c r="DS15" s="377">
        <f t="shared" si="76"/>
        <v>0.26675562385008295</v>
      </c>
      <c r="DT15" s="377">
        <f t="shared" si="77"/>
        <v>1.1633602995866495E-2</v>
      </c>
      <c r="DU15" s="377">
        <f t="shared" si="78"/>
        <v>9.6664776797414351E-2</v>
      </c>
      <c r="DV15" s="377">
        <f t="shared" si="79"/>
        <v>2.7345235856421298E-3</v>
      </c>
      <c r="DW15" s="377">
        <f t="shared" si="80"/>
        <v>2.1726653041474982E-2</v>
      </c>
      <c r="DX15" s="377">
        <f t="shared" si="81"/>
        <v>0</v>
      </c>
      <c r="DY15" s="402">
        <f t="shared" si="97"/>
        <v>0.39951518027048094</v>
      </c>
      <c r="EB15" s="564"/>
    </row>
    <row r="16" spans="2:132" x14ac:dyDescent="0.15">
      <c r="B16" s="461" t="s">
        <v>588</v>
      </c>
      <c r="C16" s="239">
        <v>7</v>
      </c>
      <c r="D16" s="239">
        <v>69</v>
      </c>
      <c r="E16" s="457">
        <f t="shared" si="5"/>
        <v>4.2999999999999997E-2</v>
      </c>
      <c r="F16" s="378">
        <v>1.12E-2</v>
      </c>
      <c r="G16" s="377">
        <f t="shared" si="6"/>
        <v>3.8636500000000004E-2</v>
      </c>
      <c r="H16" s="377">
        <f t="shared" si="7"/>
        <v>8.6932124999999999E-2</v>
      </c>
      <c r="I16" s="377">
        <f t="shared" si="8"/>
        <v>5.7954749999999999E-2</v>
      </c>
      <c r="J16" s="377">
        <f t="shared" si="9"/>
        <v>9.1375322500000022E-2</v>
      </c>
      <c r="K16" s="377">
        <f t="shared" si="10"/>
        <v>4.4818339999999998E-2</v>
      </c>
      <c r="L16" s="377"/>
      <c r="N16" s="377">
        <f t="shared" si="82"/>
        <v>0.46634417682510998</v>
      </c>
      <c r="O16" s="377">
        <f t="shared" si="83"/>
        <v>2.2026905985132243E-2</v>
      </c>
      <c r="P16" s="377">
        <f t="shared" si="84"/>
        <v>0.19008684778899371</v>
      </c>
      <c r="Q16" s="377">
        <f t="shared" si="85"/>
        <v>5.7372406286856073E-3</v>
      </c>
      <c r="R16" s="377">
        <f t="shared" si="86"/>
        <v>5.011874859755603E-2</v>
      </c>
      <c r="S16" s="377">
        <f t="shared" si="87"/>
        <v>0.26568608017452244</v>
      </c>
      <c r="T16" s="377">
        <f t="shared" si="0"/>
        <v>1</v>
      </c>
      <c r="U16" s="377">
        <f t="shared" si="1"/>
        <v>0.73431391982547767</v>
      </c>
      <c r="V16" s="390"/>
      <c r="W16" s="377"/>
      <c r="X16" s="377">
        <f t="shared" si="11"/>
        <v>0.44469729623919785</v>
      </c>
      <c r="Y16" s="377">
        <f t="shared" si="12"/>
        <v>2.1039852794305987E-2</v>
      </c>
      <c r="Z16" s="377">
        <f t="shared" si="13"/>
        <v>0.19463466003837887</v>
      </c>
      <c r="AA16" s="377">
        <f t="shared" si="14"/>
        <v>5.4801477045634192E-3</v>
      </c>
      <c r="AB16" s="377">
        <f t="shared" si="15"/>
        <v>5.1602128248035811E-2</v>
      </c>
      <c r="AC16" s="377">
        <f t="shared" si="16"/>
        <v>0.28254591497551818</v>
      </c>
      <c r="AD16" s="377">
        <f t="shared" si="17"/>
        <v>1</v>
      </c>
      <c r="AE16" s="377">
        <f t="shared" si="18"/>
        <v>0.71745408502448182</v>
      </c>
      <c r="AF16" s="377"/>
      <c r="AG16" s="390"/>
      <c r="AH16" s="377">
        <f t="shared" si="19"/>
        <v>0.65842153965000005</v>
      </c>
      <c r="AI16" s="377">
        <f t="shared" si="20"/>
        <v>0.60915722017499996</v>
      </c>
      <c r="AJ16" s="377">
        <f t="shared" si="21"/>
        <v>0.64200009982500006</v>
      </c>
      <c r="AK16" s="377">
        <f t="shared" si="22"/>
        <v>0.54972724747500001</v>
      </c>
      <c r="AL16" s="377">
        <f t="shared" si="23"/>
        <v>0.54972724747500001</v>
      </c>
      <c r="AM16" s="377">
        <v>0</v>
      </c>
      <c r="AN16" s="382"/>
      <c r="AP16" s="377">
        <f t="shared" si="24"/>
        <v>0.47169169047378989</v>
      </c>
      <c r="AQ16" s="377">
        <f t="shared" si="25"/>
        <v>2.2279485916966272E-2</v>
      </c>
      <c r="AR16" s="377">
        <f t="shared" si="26"/>
        <v>0.19043311170360905</v>
      </c>
      <c r="AS16" s="377">
        <f t="shared" si="27"/>
        <v>5.8030288900005177E-3</v>
      </c>
      <c r="AT16" s="377">
        <f t="shared" si="28"/>
        <v>5.0236684330740085E-2</v>
      </c>
      <c r="AU16" s="377">
        <f t="shared" si="29"/>
        <v>0.25955599868489426</v>
      </c>
      <c r="AV16" s="377">
        <f t="shared" si="2"/>
        <v>1.0000000000000002</v>
      </c>
      <c r="AW16" s="377">
        <f t="shared" si="3"/>
        <v>0.7404440013151059</v>
      </c>
      <c r="AX16" s="389"/>
      <c r="AY16" s="377">
        <f t="shared" si="88"/>
        <v>0.44979658766245489</v>
      </c>
      <c r="AZ16" s="377">
        <f t="shared" si="89"/>
        <v>2.1281114303669618E-2</v>
      </c>
      <c r="BA16" s="377">
        <f t="shared" si="90"/>
        <v>0.19508620144450509</v>
      </c>
      <c r="BB16" s="377">
        <f t="shared" si="91"/>
        <v>5.5429879116534828E-3</v>
      </c>
      <c r="BC16" s="377">
        <f t="shared" si="92"/>
        <v>5.1747309558186141E-2</v>
      </c>
      <c r="BD16" s="377">
        <f t="shared" si="93"/>
        <v>0.27654579911953087</v>
      </c>
      <c r="BE16" s="377">
        <f t="shared" si="31"/>
        <v>1.0000000000000002</v>
      </c>
      <c r="BF16" s="377">
        <f t="shared" si="32"/>
        <v>0.7234542008804693</v>
      </c>
      <c r="BG16" s="452"/>
      <c r="BH16" s="453"/>
      <c r="BJ16" s="383">
        <f t="shared" si="33"/>
        <v>422.34666148308753</v>
      </c>
      <c r="BK16" s="383">
        <f t="shared" si="34"/>
        <v>107.97295282455725</v>
      </c>
      <c r="BL16" s="383">
        <f t="shared" si="35"/>
        <v>258.32076810945944</v>
      </c>
      <c r="BM16" s="383">
        <f t="shared" si="36"/>
        <v>102.05675603641572</v>
      </c>
      <c r="BN16" s="383">
        <f t="shared" si="37"/>
        <v>316.5285132627323</v>
      </c>
      <c r="BO16" s="383">
        <f t="shared" si="38"/>
        <v>0</v>
      </c>
      <c r="BP16" s="383">
        <f t="shared" si="39"/>
        <v>1207.2256517162523</v>
      </c>
      <c r="BQ16" s="445"/>
      <c r="BR16" s="383">
        <f t="shared" si="40"/>
        <v>402.74206856370023</v>
      </c>
      <c r="BS16" s="383">
        <f t="shared" si="41"/>
        <v>103.13454984229782</v>
      </c>
      <c r="BT16" s="383">
        <f t="shared" si="42"/>
        <v>264.50107130846277</v>
      </c>
      <c r="BU16" s="383">
        <f t="shared" si="43"/>
        <v>97.483465227478888</v>
      </c>
      <c r="BV16" s="383">
        <f t="shared" si="44"/>
        <v>325.89690270798377</v>
      </c>
      <c r="BW16" s="383">
        <f t="shared" si="94"/>
        <v>0</v>
      </c>
      <c r="BX16" s="385">
        <f t="shared" si="45"/>
        <v>1193.7580576499233</v>
      </c>
      <c r="BY16" s="385"/>
      <c r="CA16" s="383">
        <f t="shared" si="46"/>
        <v>427.18966081489259</v>
      </c>
      <c r="CB16" s="383">
        <f t="shared" si="47"/>
        <v>109.21106593416754</v>
      </c>
      <c r="CC16" s="383">
        <f t="shared" si="48"/>
        <v>258.79132754811826</v>
      </c>
      <c r="CD16" s="383">
        <f t="shared" si="49"/>
        <v>103.22702881554682</v>
      </c>
      <c r="CE16" s="383">
        <f t="shared" si="50"/>
        <v>317.27334475453688</v>
      </c>
      <c r="CF16" s="383">
        <f t="shared" si="51"/>
        <v>0</v>
      </c>
      <c r="CG16" s="383">
        <f t="shared" si="52"/>
        <v>1215.6924278672623</v>
      </c>
      <c r="CH16" s="383"/>
      <c r="CI16" s="398"/>
      <c r="CJ16" s="383">
        <f t="shared" si="53"/>
        <v>407.36026434177171</v>
      </c>
      <c r="CK16" s="383">
        <f t="shared" si="54"/>
        <v>104.31718155582509</v>
      </c>
      <c r="CL16" s="383">
        <f t="shared" si="55"/>
        <v>265.11469883830233</v>
      </c>
      <c r="CM16" s="383">
        <f t="shared" si="56"/>
        <v>98.601296620536175</v>
      </c>
      <c r="CN16" s="383">
        <f t="shared" si="57"/>
        <v>326.81380557450228</v>
      </c>
      <c r="CO16" s="383">
        <f t="shared" si="58"/>
        <v>0</v>
      </c>
      <c r="CP16" s="383">
        <f t="shared" si="95"/>
        <v>1202.2072469309376</v>
      </c>
      <c r="CR16" s="377">
        <f t="shared" si="59"/>
        <v>0.24133935048529978</v>
      </c>
      <c r="CS16" s="377">
        <f t="shared" si="60"/>
        <v>1.054630788352401E-2</v>
      </c>
      <c r="CT16" s="377">
        <f t="shared" si="61"/>
        <v>9.5919016231221579E-2</v>
      </c>
      <c r="CU16" s="377">
        <f t="shared" si="62"/>
        <v>2.4789506448850544E-3</v>
      </c>
      <c r="CV16" s="377">
        <f t="shared" si="63"/>
        <v>2.1655341338752084E-2</v>
      </c>
      <c r="CW16" s="377">
        <v>0</v>
      </c>
      <c r="CX16" s="377">
        <f t="shared" si="4"/>
        <v>0.37193896658368253</v>
      </c>
      <c r="CY16" s="377"/>
      <c r="CZ16" s="454"/>
      <c r="DA16" s="377">
        <f t="shared" si="64"/>
        <v>0.2301368001796355</v>
      </c>
      <c r="DB16" s="377">
        <f t="shared" si="65"/>
        <v>1.0073714644378446E-2</v>
      </c>
      <c r="DC16" s="377">
        <f t="shared" si="66"/>
        <v>9.8213870830786254E-2</v>
      </c>
      <c r="DD16" s="377">
        <f t="shared" si="67"/>
        <v>2.3678657677994484E-3</v>
      </c>
      <c r="DE16" s="377">
        <f t="shared" si="68"/>
        <v>2.2296280978407506E-2</v>
      </c>
      <c r="DF16" s="377">
        <v>0</v>
      </c>
      <c r="DG16" s="377">
        <f t="shared" si="69"/>
        <v>0.36308853240100719</v>
      </c>
      <c r="DJ16" s="377">
        <f t="shared" si="70"/>
        <v>0.24410676034011969</v>
      </c>
      <c r="DK16" s="377">
        <f t="shared" si="71"/>
        <v>1.0667241151597119E-2</v>
      </c>
      <c r="DL16" s="377">
        <f t="shared" si="72"/>
        <v>9.6093743175418925E-2</v>
      </c>
      <c r="DM16" s="377">
        <f t="shared" si="73"/>
        <v>2.5073764794224882E-3</v>
      </c>
      <c r="DN16" s="377">
        <f t="shared" si="74"/>
        <v>2.1706299086692766E-2</v>
      </c>
      <c r="DO16" s="377">
        <f t="shared" si="75"/>
        <v>0</v>
      </c>
      <c r="DP16" s="377">
        <f t="shared" si="96"/>
        <v>0.37508142023325097</v>
      </c>
      <c r="DQ16" s="454"/>
      <c r="DS16" s="377">
        <f t="shared" si="76"/>
        <v>0.23277575171196191</v>
      </c>
      <c r="DT16" s="377">
        <f t="shared" si="77"/>
        <v>1.0189228741542614E-2</v>
      </c>
      <c r="DU16" s="377">
        <f t="shared" si="78"/>
        <v>9.8441721457839471E-2</v>
      </c>
      <c r="DV16" s="377">
        <f t="shared" si="79"/>
        <v>2.3950178051589679E-3</v>
      </c>
      <c r="DW16" s="377">
        <f t="shared" si="80"/>
        <v>2.2359011012881392E-2</v>
      </c>
      <c r="DX16" s="377">
        <f t="shared" si="81"/>
        <v>0</v>
      </c>
      <c r="DY16" s="402">
        <f t="shared" si="97"/>
        <v>0.36616073072938438</v>
      </c>
      <c r="EA16" s="372" t="s">
        <v>956</v>
      </c>
    </row>
    <row r="17" spans="2:129" x14ac:dyDescent="0.15">
      <c r="B17" s="461" t="s">
        <v>588</v>
      </c>
      <c r="C17" s="239">
        <v>8</v>
      </c>
      <c r="D17" s="239">
        <v>70</v>
      </c>
      <c r="E17" s="457">
        <f t="shared" si="5"/>
        <v>4.2999999999999997E-2</v>
      </c>
      <c r="F17" s="378">
        <v>1.12E-2</v>
      </c>
      <c r="G17" s="377">
        <f t="shared" si="6"/>
        <v>4.2890499999999998E-2</v>
      </c>
      <c r="H17" s="377">
        <f t="shared" si="7"/>
        <v>9.6503624999999996E-2</v>
      </c>
      <c r="I17" s="377">
        <f t="shared" si="8"/>
        <v>6.4335749999999997E-2</v>
      </c>
      <c r="J17" s="377">
        <f t="shared" si="9"/>
        <v>0.1014360325</v>
      </c>
      <c r="K17" s="377">
        <f t="shared" si="10"/>
        <v>4.9752979999999995E-2</v>
      </c>
      <c r="L17" s="377"/>
      <c r="N17" s="377">
        <f t="shared" si="82"/>
        <v>0.42305041565328566</v>
      </c>
      <c r="O17" s="377">
        <f t="shared" si="83"/>
        <v>2.0052799603479728E-2</v>
      </c>
      <c r="P17" s="377">
        <f t="shared" si="84"/>
        <v>0.19918247228776401</v>
      </c>
      <c r="Q17" s="377">
        <f t="shared" si="85"/>
        <v>5.223054780441232E-3</v>
      </c>
      <c r="R17" s="377">
        <f t="shared" si="86"/>
        <v>5.3085507898515599E-2</v>
      </c>
      <c r="S17" s="377">
        <f t="shared" si="87"/>
        <v>0.29940574977651385</v>
      </c>
      <c r="T17" s="377">
        <f t="shared" si="0"/>
        <v>1.0000000000000002</v>
      </c>
      <c r="U17" s="377">
        <f t="shared" si="1"/>
        <v>0.70059425022348631</v>
      </c>
      <c r="V17" s="390"/>
      <c r="W17" s="377"/>
      <c r="X17" s="377">
        <f t="shared" si="11"/>
        <v>0.402513327462793</v>
      </c>
      <c r="Y17" s="377">
        <f t="shared" si="12"/>
        <v>1.9121983738285504E-2</v>
      </c>
      <c r="Z17" s="377">
        <f t="shared" si="13"/>
        <v>0.20183401129219292</v>
      </c>
      <c r="AA17" s="377">
        <f t="shared" si="14"/>
        <v>4.9806097178790153E-3</v>
      </c>
      <c r="AB17" s="377">
        <f t="shared" si="15"/>
        <v>5.4111551205124814E-2</v>
      </c>
      <c r="AC17" s="377">
        <f t="shared" si="16"/>
        <v>0.31743851658372479</v>
      </c>
      <c r="AD17" s="377">
        <f t="shared" si="17"/>
        <v>1</v>
      </c>
      <c r="AE17" s="377">
        <f t="shared" si="18"/>
        <v>0.68256148341627532</v>
      </c>
      <c r="AF17" s="377"/>
      <c r="AG17" s="390"/>
      <c r="AH17" s="377">
        <f t="shared" si="19"/>
        <v>0.65422021225000004</v>
      </c>
      <c r="AI17" s="377">
        <f t="shared" si="20"/>
        <v>0.60527024387500006</v>
      </c>
      <c r="AJ17" s="377">
        <f t="shared" si="21"/>
        <v>0.63790355612500005</v>
      </c>
      <c r="AK17" s="377">
        <f t="shared" si="22"/>
        <v>0.54621948837500001</v>
      </c>
      <c r="AL17" s="377">
        <f t="shared" si="23"/>
        <v>0.54621948837500001</v>
      </c>
      <c r="AM17" s="377">
        <v>0</v>
      </c>
      <c r="AN17" s="382"/>
      <c r="AP17" s="377">
        <f t="shared" si="24"/>
        <v>0.4279014848511199</v>
      </c>
      <c r="AQ17" s="377">
        <f t="shared" si="25"/>
        <v>2.0282742690372963E-2</v>
      </c>
      <c r="AR17" s="377">
        <f t="shared" si="26"/>
        <v>0.19973929118540112</v>
      </c>
      <c r="AS17" s="377">
        <f t="shared" si="27"/>
        <v>5.2829469333064471E-3</v>
      </c>
      <c r="AT17" s="377">
        <f t="shared" si="28"/>
        <v>5.3257934785632205E-2</v>
      </c>
      <c r="AU17" s="377">
        <f t="shared" si="29"/>
        <v>0.29353559955416747</v>
      </c>
      <c r="AV17" s="377">
        <f t="shared" si="2"/>
        <v>1</v>
      </c>
      <c r="AW17" s="377">
        <f t="shared" si="3"/>
        <v>0.70646440044583259</v>
      </c>
      <c r="AX17" s="389"/>
      <c r="AY17" s="377">
        <f t="shared" si="88"/>
        <v>0.40712890029365106</v>
      </c>
      <c r="AZ17" s="377">
        <f t="shared" si="89"/>
        <v>1.9341253269485558E-2</v>
      </c>
      <c r="BA17" s="377">
        <f t="shared" si="90"/>
        <v>0.2024767948818654</v>
      </c>
      <c r="BB17" s="377">
        <f t="shared" si="91"/>
        <v>5.0377217818194948E-3</v>
      </c>
      <c r="BC17" s="377">
        <f t="shared" si="92"/>
        <v>5.4306597181758676E-2</v>
      </c>
      <c r="BD17" s="377">
        <f t="shared" si="93"/>
        <v>0.3117087325914199</v>
      </c>
      <c r="BE17" s="377">
        <f t="shared" si="31"/>
        <v>1</v>
      </c>
      <c r="BF17" s="377">
        <f t="shared" si="32"/>
        <v>0.68829126740858015</v>
      </c>
      <c r="BG17" s="452"/>
      <c r="BH17" s="453"/>
      <c r="BJ17" s="383">
        <f t="shared" si="33"/>
        <v>370.18113588822507</v>
      </c>
      <c r="BK17" s="383">
        <f t="shared" si="34"/>
        <v>94.972122570085403</v>
      </c>
      <c r="BL17" s="383">
        <f t="shared" si="35"/>
        <v>261.52789807484658</v>
      </c>
      <c r="BM17" s="383">
        <f t="shared" si="36"/>
        <v>89.768284462359503</v>
      </c>
      <c r="BN17" s="383">
        <f t="shared" si="37"/>
        <v>323.92781850554138</v>
      </c>
      <c r="BO17" s="383">
        <f t="shared" si="38"/>
        <v>0</v>
      </c>
      <c r="BP17" s="383">
        <f t="shared" si="39"/>
        <v>1140.3772595010578</v>
      </c>
      <c r="BQ17" s="445"/>
      <c r="BR17" s="383">
        <f t="shared" si="40"/>
        <v>352.21060010124722</v>
      </c>
      <c r="BS17" s="383">
        <f t="shared" si="41"/>
        <v>90.563682841596531</v>
      </c>
      <c r="BT17" s="383">
        <f t="shared" si="42"/>
        <v>265.00938625263115</v>
      </c>
      <c r="BU17" s="383">
        <f t="shared" si="43"/>
        <v>85.601397792114568</v>
      </c>
      <c r="BV17" s="383">
        <f t="shared" si="44"/>
        <v>330.18873571551745</v>
      </c>
      <c r="BW17" s="383">
        <f t="shared" si="94"/>
        <v>0</v>
      </c>
      <c r="BX17" s="385">
        <f t="shared" si="45"/>
        <v>1123.5738027031068</v>
      </c>
      <c r="BY17" s="385"/>
      <c r="CA17" s="383">
        <f t="shared" si="46"/>
        <v>374.4259592933825</v>
      </c>
      <c r="CB17" s="383">
        <f t="shared" si="47"/>
        <v>96.061156693219942</v>
      </c>
      <c r="CC17" s="383">
        <f t="shared" si="48"/>
        <v>262.25900495505942</v>
      </c>
      <c r="CD17" s="383">
        <f t="shared" si="49"/>
        <v>90.797646787947357</v>
      </c>
      <c r="CE17" s="383">
        <f t="shared" si="50"/>
        <v>324.97996753088671</v>
      </c>
      <c r="CF17" s="383">
        <f t="shared" si="51"/>
        <v>0</v>
      </c>
      <c r="CG17" s="383">
        <f t="shared" si="52"/>
        <v>1148.5237352604959</v>
      </c>
      <c r="CH17" s="383"/>
      <c r="CI17" s="398"/>
      <c r="CJ17" s="383">
        <f t="shared" si="53"/>
        <v>356.24935749299539</v>
      </c>
      <c r="CK17" s="383">
        <f t="shared" si="54"/>
        <v>91.602165906544883</v>
      </c>
      <c r="CL17" s="383">
        <f t="shared" si="55"/>
        <v>265.85336533971258</v>
      </c>
      <c r="CM17" s="383">
        <f t="shared" si="56"/>
        <v>86.582978919932714</v>
      </c>
      <c r="CN17" s="383">
        <f t="shared" si="57"/>
        <v>331.3789064461069</v>
      </c>
      <c r="CO17" s="383">
        <f t="shared" si="58"/>
        <v>0</v>
      </c>
      <c r="CP17" s="383">
        <f t="shared" si="95"/>
        <v>1131.6667741052925</v>
      </c>
      <c r="CR17" s="377">
        <f t="shared" si="59"/>
        <v>0.21018091838082922</v>
      </c>
      <c r="CS17" s="377">
        <f t="shared" si="60"/>
        <v>9.2172536530913882E-3</v>
      </c>
      <c r="CT17" s="377">
        <f t="shared" si="61"/>
        <v>9.6490230415744935E-2</v>
      </c>
      <c r="CU17" s="377">
        <f t="shared" si="62"/>
        <v>2.1665512840845559E-3</v>
      </c>
      <c r="CV17" s="377">
        <f t="shared" si="63"/>
        <v>2.2020154897570074E-2</v>
      </c>
      <c r="CW17" s="377">
        <v>0</v>
      </c>
      <c r="CX17" s="377">
        <f t="shared" si="4"/>
        <v>0.34007510863132018</v>
      </c>
      <c r="CY17" s="377"/>
      <c r="CZ17" s="454"/>
      <c r="DA17" s="377">
        <f t="shared" si="64"/>
        <v>0.19997763315280226</v>
      </c>
      <c r="DB17" s="377">
        <f t="shared" si="65"/>
        <v>8.7894048687087792E-3</v>
      </c>
      <c r="DC17" s="377">
        <f t="shared" si="66"/>
        <v>9.7774718988233644E-2</v>
      </c>
      <c r="DD17" s="377">
        <f t="shared" si="67"/>
        <v>2.0659837649420975E-3</v>
      </c>
      <c r="DE17" s="377">
        <f t="shared" si="68"/>
        <v>2.2445763193271843E-2</v>
      </c>
      <c r="DF17" s="377">
        <v>0</v>
      </c>
      <c r="DG17" s="377">
        <f t="shared" si="69"/>
        <v>0.33105350396795863</v>
      </c>
      <c r="DJ17" s="377">
        <f t="shared" si="70"/>
        <v>0.21259103817129257</v>
      </c>
      <c r="DK17" s="377">
        <f t="shared" si="71"/>
        <v>9.3229468131278571E-3</v>
      </c>
      <c r="DL17" s="377">
        <f t="shared" si="72"/>
        <v>9.675997093616194E-2</v>
      </c>
      <c r="DM17" s="377">
        <f t="shared" si="73"/>
        <v>2.1913948720137175E-3</v>
      </c>
      <c r="DN17" s="377">
        <f t="shared" si="74"/>
        <v>2.2091678500020525E-2</v>
      </c>
      <c r="DO17" s="377">
        <f t="shared" si="75"/>
        <v>0</v>
      </c>
      <c r="DP17" s="377">
        <f t="shared" si="96"/>
        <v>0.34295702929261662</v>
      </c>
      <c r="DQ17" s="454"/>
      <c r="DS17" s="377">
        <f t="shared" si="76"/>
        <v>0.20227075307550765</v>
      </c>
      <c r="DT17" s="377">
        <f t="shared" si="77"/>
        <v>8.8901919372193824E-3</v>
      </c>
      <c r="DU17" s="377">
        <f t="shared" si="78"/>
        <v>9.8086103498941743E-2</v>
      </c>
      <c r="DV17" s="377">
        <f t="shared" si="79"/>
        <v>2.0896741569958665E-3</v>
      </c>
      <c r="DW17" s="377">
        <f t="shared" si="80"/>
        <v>2.252666931600945E-2</v>
      </c>
      <c r="DX17" s="377">
        <f t="shared" si="81"/>
        <v>0</v>
      </c>
      <c r="DY17" s="402">
        <f t="shared" si="97"/>
        <v>0.33386339198467407</v>
      </c>
    </row>
    <row r="18" spans="2:129" x14ac:dyDescent="0.15">
      <c r="B18" s="461" t="s">
        <v>588</v>
      </c>
      <c r="C18" s="239">
        <v>9</v>
      </c>
      <c r="D18" s="239">
        <v>71</v>
      </c>
      <c r="E18" s="457">
        <f t="shared" si="5"/>
        <v>4.2999999999999997E-2</v>
      </c>
      <c r="F18" s="378">
        <v>1.12E-2</v>
      </c>
      <c r="G18" s="377">
        <f t="shared" si="6"/>
        <v>4.7300000000000002E-2</v>
      </c>
      <c r="H18" s="377">
        <f t="shared" si="7"/>
        <v>0.10642499999999999</v>
      </c>
      <c r="I18" s="377">
        <f t="shared" si="8"/>
        <v>7.0949999999999999E-2</v>
      </c>
      <c r="J18" s="377">
        <f t="shared" si="9"/>
        <v>0.11186450000000001</v>
      </c>
      <c r="K18" s="377">
        <f t="shared" si="10"/>
        <v>5.4868E-2</v>
      </c>
      <c r="L18" s="377"/>
      <c r="N18" s="377">
        <f t="shared" si="82"/>
        <v>0.38197623927230034</v>
      </c>
      <c r="O18" s="377">
        <f t="shared" si="83"/>
        <v>1.8191167873091281E-2</v>
      </c>
      <c r="P18" s="377">
        <f t="shared" si="84"/>
        <v>0.20448555029662185</v>
      </c>
      <c r="Q18" s="377">
        <f t="shared" si="85"/>
        <v>4.7381646553167995E-3</v>
      </c>
      <c r="R18" s="377">
        <f t="shared" si="86"/>
        <v>5.5137594511734021E-2</v>
      </c>
      <c r="S18" s="377">
        <f t="shared" si="87"/>
        <v>0.33547128339093574</v>
      </c>
      <c r="T18" s="377">
        <f t="shared" si="0"/>
        <v>1</v>
      </c>
      <c r="U18" s="377">
        <f t="shared" si="1"/>
        <v>0.66452871660906432</v>
      </c>
      <c r="V18" s="390"/>
      <c r="W18" s="377"/>
      <c r="X18" s="377">
        <f t="shared" si="11"/>
        <v>0.36259094512923107</v>
      </c>
      <c r="Y18" s="377">
        <f t="shared" si="12"/>
        <v>1.7308073080900099E-2</v>
      </c>
      <c r="Z18" s="377">
        <f t="shared" si="13"/>
        <v>0.20535901181594796</v>
      </c>
      <c r="AA18" s="377">
        <f t="shared" si="14"/>
        <v>4.5081492675832814E-3</v>
      </c>
      <c r="AB18" s="377">
        <f t="shared" si="15"/>
        <v>5.5729015861515172E-2</v>
      </c>
      <c r="AC18" s="377">
        <f t="shared" si="16"/>
        <v>0.35450480484482244</v>
      </c>
      <c r="AD18" s="377">
        <f t="shared" si="17"/>
        <v>1</v>
      </c>
      <c r="AE18" s="377">
        <f t="shared" si="18"/>
        <v>0.6454951951551775</v>
      </c>
      <c r="AF18" s="377"/>
      <c r="AG18" s="390"/>
      <c r="AH18" s="377">
        <f t="shared" si="19"/>
        <v>0.64996297605000009</v>
      </c>
      <c r="AI18" s="377">
        <f t="shared" si="20"/>
        <v>0.60133154197500005</v>
      </c>
      <c r="AJ18" s="377">
        <f t="shared" si="21"/>
        <v>0.633752498025</v>
      </c>
      <c r="AK18" s="377">
        <f t="shared" si="22"/>
        <v>0.54266505007499999</v>
      </c>
      <c r="AL18" s="377">
        <f t="shared" si="23"/>
        <v>0.54266505007499999</v>
      </c>
      <c r="AM18" s="377">
        <v>0</v>
      </c>
      <c r="AN18" s="382"/>
      <c r="AP18" s="377">
        <f t="shared" si="24"/>
        <v>0.38635631573618223</v>
      </c>
      <c r="AQ18" s="377">
        <f t="shared" si="25"/>
        <v>1.8399763848598153E-2</v>
      </c>
      <c r="AR18" s="377">
        <f t="shared" si="26"/>
        <v>0.20521429857832968</v>
      </c>
      <c r="AS18" s="377">
        <f t="shared" si="27"/>
        <v>4.7924966303325425E-3</v>
      </c>
      <c r="AT18" s="377">
        <f t="shared" si="28"/>
        <v>5.5355259577885146E-2</v>
      </c>
      <c r="AU18" s="377">
        <f t="shared" si="29"/>
        <v>0.32988186562867233</v>
      </c>
      <c r="AV18" s="377">
        <f t="shared" si="2"/>
        <v>1</v>
      </c>
      <c r="AW18" s="377">
        <f t="shared" si="3"/>
        <v>0.67011813437132772</v>
      </c>
      <c r="AX18" s="389"/>
      <c r="AY18" s="377">
        <f t="shared" si="88"/>
        <v>0.36674873271257097</v>
      </c>
      <c r="AZ18" s="377">
        <f t="shared" si="89"/>
        <v>1.7506542712626992E-2</v>
      </c>
      <c r="BA18" s="377">
        <f t="shared" si="90"/>
        <v>0.20615510582676899</v>
      </c>
      <c r="BB18" s="377">
        <f t="shared" si="91"/>
        <v>4.5598436832888917E-3</v>
      </c>
      <c r="BC18" s="377">
        <f t="shared" si="92"/>
        <v>5.5964836582139799E-2</v>
      </c>
      <c r="BD18" s="377">
        <f t="shared" si="93"/>
        <v>0.34906493848260445</v>
      </c>
      <c r="BE18" s="377">
        <f t="shared" si="31"/>
        <v>1</v>
      </c>
      <c r="BF18" s="377">
        <f t="shared" si="32"/>
        <v>0.65093506151739566</v>
      </c>
      <c r="BG18" s="452"/>
      <c r="BH18" s="453"/>
      <c r="BJ18" s="383">
        <f t="shared" si="33"/>
        <v>322.93726020702354</v>
      </c>
      <c r="BK18" s="383">
        <f t="shared" si="34"/>
        <v>83.241780785611283</v>
      </c>
      <c r="BL18" s="383">
        <f t="shared" si="35"/>
        <v>259.41147287962889</v>
      </c>
      <c r="BM18" s="383">
        <f t="shared" si="36"/>
        <v>78.68068707427021</v>
      </c>
      <c r="BN18" s="383">
        <f t="shared" si="37"/>
        <v>325.07212843042851</v>
      </c>
      <c r="BO18" s="383">
        <f t="shared" si="38"/>
        <v>0</v>
      </c>
      <c r="BP18" s="383">
        <f t="shared" si="39"/>
        <v>1069.3433293769624</v>
      </c>
      <c r="BQ18" s="445"/>
      <c r="BR18" s="383">
        <f t="shared" si="40"/>
        <v>306.54819425151709</v>
      </c>
      <c r="BS18" s="383">
        <f t="shared" si="41"/>
        <v>79.200787726928596</v>
      </c>
      <c r="BT18" s="383">
        <f t="shared" si="42"/>
        <v>260.51955087782176</v>
      </c>
      <c r="BU18" s="383">
        <f t="shared" si="43"/>
        <v>74.861113450077994</v>
      </c>
      <c r="BV18" s="383">
        <f t="shared" si="44"/>
        <v>328.55894352773277</v>
      </c>
      <c r="BW18" s="383">
        <f t="shared" si="94"/>
        <v>0</v>
      </c>
      <c r="BX18" s="385">
        <f t="shared" si="45"/>
        <v>1049.6885898340781</v>
      </c>
      <c r="BY18" s="385"/>
      <c r="CA18" s="383">
        <f t="shared" si="46"/>
        <v>326.6403436643559</v>
      </c>
      <c r="CB18" s="383">
        <f t="shared" si="47"/>
        <v>84.196304463642363</v>
      </c>
      <c r="CC18" s="383">
        <f t="shared" si="48"/>
        <v>260.33596688344522</v>
      </c>
      <c r="CD18" s="383">
        <f t="shared" si="49"/>
        <v>79.58290922890636</v>
      </c>
      <c r="CE18" s="383">
        <f t="shared" si="50"/>
        <v>326.35540614620982</v>
      </c>
      <c r="CF18" s="383">
        <f t="shared" si="51"/>
        <v>0</v>
      </c>
      <c r="CG18" s="383">
        <f t="shared" si="52"/>
        <v>1077.1109303865596</v>
      </c>
      <c r="CH18" s="383"/>
      <c r="CI18" s="398"/>
      <c r="CJ18" s="383">
        <f t="shared" si="53"/>
        <v>310.06334622338983</v>
      </c>
      <c r="CK18" s="383">
        <f t="shared" si="54"/>
        <v>80.1089738143787</v>
      </c>
      <c r="CL18" s="383">
        <f t="shared" si="55"/>
        <v>261.52948003711037</v>
      </c>
      <c r="CM18" s="383">
        <f t="shared" si="56"/>
        <v>75.719537004661788</v>
      </c>
      <c r="CN18" s="383">
        <f t="shared" si="57"/>
        <v>329.94926068357336</v>
      </c>
      <c r="CO18" s="383">
        <f t="shared" si="58"/>
        <v>0</v>
      </c>
      <c r="CP18" s="383">
        <f t="shared" si="95"/>
        <v>1057.3705977631141</v>
      </c>
      <c r="CR18" s="377">
        <f t="shared" si="59"/>
        <v>0.18216369168557112</v>
      </c>
      <c r="CS18" s="377">
        <f t="shared" si="60"/>
        <v>8.0262266276397588E-3</v>
      </c>
      <c r="CT18" s="377">
        <f t="shared" si="61"/>
        <v>9.5086565397454442E-2</v>
      </c>
      <c r="CU18" s="377">
        <f t="shared" si="62"/>
        <v>1.8865957541088578E-3</v>
      </c>
      <c r="CV18" s="377">
        <f t="shared" si="63"/>
        <v>2.1954144540098978E-2</v>
      </c>
      <c r="CW18" s="377">
        <v>0</v>
      </c>
      <c r="CX18" s="377">
        <f t="shared" si="4"/>
        <v>0.30911722400487318</v>
      </c>
      <c r="CY18" s="377"/>
      <c r="CZ18" s="454"/>
      <c r="DA18" s="377">
        <f t="shared" si="64"/>
        <v>0.17291888433252836</v>
      </c>
      <c r="DB18" s="377">
        <f t="shared" si="65"/>
        <v>7.6365914494443314E-3</v>
      </c>
      <c r="DC18" s="377">
        <f t="shared" si="66"/>
        <v>9.5492728354979226E-2</v>
      </c>
      <c r="DD18" s="377">
        <f t="shared" si="67"/>
        <v>1.7950104915767046E-3</v>
      </c>
      <c r="DE18" s="377">
        <f t="shared" si="68"/>
        <v>2.2189630870472578E-2</v>
      </c>
      <c r="DF18" s="377">
        <v>0</v>
      </c>
      <c r="DG18" s="377">
        <f t="shared" si="69"/>
        <v>0.30003284549900122</v>
      </c>
      <c r="DJ18" s="377">
        <f t="shared" si="70"/>
        <v>0.18425254124345428</v>
      </c>
      <c r="DK18" s="377">
        <f t="shared" si="71"/>
        <v>8.118262421312375E-3</v>
      </c>
      <c r="DL18" s="377">
        <f t="shared" si="72"/>
        <v>9.5425436144293899E-2</v>
      </c>
      <c r="DM18" s="377">
        <f t="shared" si="73"/>
        <v>1.9082291250095563E-3</v>
      </c>
      <c r="DN18" s="377">
        <f t="shared" si="74"/>
        <v>2.2040812273175271E-2</v>
      </c>
      <c r="DO18" s="377">
        <f t="shared" si="75"/>
        <v>0</v>
      </c>
      <c r="DP18" s="377">
        <f t="shared" si="96"/>
        <v>0.31174528120724537</v>
      </c>
      <c r="DQ18" s="454"/>
      <c r="DS18" s="377">
        <f t="shared" si="76"/>
        <v>0.17490172477534896</v>
      </c>
      <c r="DT18" s="377">
        <f t="shared" si="77"/>
        <v>7.72415934250416E-3</v>
      </c>
      <c r="DU18" s="377">
        <f t="shared" si="78"/>
        <v>9.5862915124228454E-2</v>
      </c>
      <c r="DV18" s="377">
        <f t="shared" si="79"/>
        <v>1.8155936650786862E-3</v>
      </c>
      <c r="DW18" s="377">
        <f t="shared" si="80"/>
        <v>2.2283527643300445E-2</v>
      </c>
      <c r="DX18" s="377">
        <f t="shared" si="81"/>
        <v>0</v>
      </c>
      <c r="DY18" s="402">
        <f t="shared" si="97"/>
        <v>0.30258792055046069</v>
      </c>
    </row>
    <row r="19" spans="2:129" x14ac:dyDescent="0.15">
      <c r="B19" s="461" t="s">
        <v>588</v>
      </c>
      <c r="C19" s="239">
        <v>10</v>
      </c>
      <c r="D19" s="239">
        <v>72</v>
      </c>
      <c r="E19" s="457">
        <f t="shared" si="5"/>
        <v>4.2999999999999997E-2</v>
      </c>
      <c r="F19" s="378">
        <v>1.12E-2</v>
      </c>
      <c r="G19" s="377">
        <f t="shared" si="6"/>
        <v>5.2387500000000004E-2</v>
      </c>
      <c r="H19" s="377">
        <f t="shared" si="7"/>
        <v>0.117871875</v>
      </c>
      <c r="I19" s="377">
        <f t="shared" si="8"/>
        <v>7.8581250000000005E-2</v>
      </c>
      <c r="J19" s="377">
        <f t="shared" si="9"/>
        <v>0.12389643750000001</v>
      </c>
      <c r="K19" s="377">
        <f t="shared" si="10"/>
        <v>6.076949999999999E-2</v>
      </c>
      <c r="L19" s="377"/>
      <c r="N19" s="377">
        <f t="shared" si="82"/>
        <v>0.34320565098616185</v>
      </c>
      <c r="O19" s="377">
        <f t="shared" si="83"/>
        <v>1.6424978288708914E-2</v>
      </c>
      <c r="P19" s="377">
        <f t="shared" si="84"/>
        <v>0.20623247333527409</v>
      </c>
      <c r="Q19" s="377">
        <f t="shared" si="85"/>
        <v>4.2781338798497642E-3</v>
      </c>
      <c r="R19" s="377">
        <f t="shared" si="86"/>
        <v>5.6320437211296315E-2</v>
      </c>
      <c r="S19" s="377">
        <f t="shared" si="87"/>
        <v>0.37353832629870914</v>
      </c>
      <c r="T19" s="377">
        <f t="shared" si="0"/>
        <v>1</v>
      </c>
      <c r="U19" s="377">
        <f t="shared" si="1"/>
        <v>0.62646167370129091</v>
      </c>
      <c r="V19" s="390"/>
      <c r="W19" s="377"/>
      <c r="X19" s="377">
        <f t="shared" si="11"/>
        <v>0.32491493482391809</v>
      </c>
      <c r="Y19" s="377">
        <f t="shared" si="12"/>
        <v>1.5591410640556937E-2</v>
      </c>
      <c r="Z19" s="377">
        <f t="shared" si="13"/>
        <v>0.20537393821312758</v>
      </c>
      <c r="AA19" s="377">
        <f t="shared" si="14"/>
        <v>4.0610185854473881E-3</v>
      </c>
      <c r="AB19" s="377">
        <f t="shared" si="15"/>
        <v>5.6483198973234547E-2</v>
      </c>
      <c r="AC19" s="377">
        <f t="shared" si="16"/>
        <v>0.39357549876371556</v>
      </c>
      <c r="AD19" s="377">
        <f t="shared" si="17"/>
        <v>1</v>
      </c>
      <c r="AE19" s="377">
        <f t="shared" si="18"/>
        <v>0.60642450123628444</v>
      </c>
      <c r="AF19" s="377"/>
      <c r="AG19" s="390"/>
      <c r="AH19" s="377">
        <f t="shared" si="19"/>
        <v>0.64564983105000007</v>
      </c>
      <c r="AI19" s="377">
        <f t="shared" si="20"/>
        <v>0.59734111447500005</v>
      </c>
      <c r="AJ19" s="377">
        <f t="shared" si="21"/>
        <v>0.62954692552499991</v>
      </c>
      <c r="AK19" s="377">
        <f t="shared" si="22"/>
        <v>0.53906393257499996</v>
      </c>
      <c r="AL19" s="377">
        <f t="shared" si="23"/>
        <v>0.53906393257499996</v>
      </c>
      <c r="AM19" s="377">
        <v>0</v>
      </c>
      <c r="AN19" s="382"/>
      <c r="AP19" s="377">
        <f t="shared" si="24"/>
        <v>0.3471411496889597</v>
      </c>
      <c r="AQ19" s="377">
        <f t="shared" si="25"/>
        <v>1.6613321576655835E-2</v>
      </c>
      <c r="AR19" s="377">
        <f t="shared" si="26"/>
        <v>0.20709591307520828</v>
      </c>
      <c r="AS19" s="377">
        <f t="shared" si="27"/>
        <v>4.3271907362452408E-3</v>
      </c>
      <c r="AT19" s="377">
        <f t="shared" si="28"/>
        <v>5.6574413586394451E-2</v>
      </c>
      <c r="AU19" s="377">
        <f t="shared" si="29"/>
        <v>0.36824801133653656</v>
      </c>
      <c r="AV19" s="377">
        <f t="shared" si="2"/>
        <v>1</v>
      </c>
      <c r="AW19" s="377">
        <f t="shared" si="3"/>
        <v>0.63175198866346349</v>
      </c>
      <c r="AX19" s="389"/>
      <c r="AY19" s="377">
        <f t="shared" si="88"/>
        <v>0.32864069604272372</v>
      </c>
      <c r="AZ19" s="377">
        <f t="shared" si="89"/>
        <v>1.577019550664055E-2</v>
      </c>
      <c r="BA19" s="377">
        <f t="shared" si="90"/>
        <v>0.2062865243217564</v>
      </c>
      <c r="BB19" s="377">
        <f t="shared" si="91"/>
        <v>4.107585806380795E-3</v>
      </c>
      <c r="BC19" s="377">
        <f t="shared" si="92"/>
        <v>5.6750947782995984E-2</v>
      </c>
      <c r="BD19" s="377">
        <f t="shared" si="93"/>
        <v>0.38844405053950271</v>
      </c>
      <c r="BE19" s="377">
        <f t="shared" si="31"/>
        <v>1</v>
      </c>
      <c r="BF19" s="377">
        <f t="shared" si="32"/>
        <v>0.61155594946049741</v>
      </c>
      <c r="BG19" s="452"/>
      <c r="BH19" s="453"/>
      <c r="BJ19" s="383">
        <f t="shared" si="33"/>
        <v>280.34698386087985</v>
      </c>
      <c r="BK19" s="383">
        <f t="shared" si="34"/>
        <v>72.618159099754493</v>
      </c>
      <c r="BL19" s="383">
        <f t="shared" si="35"/>
        <v>252.78031775460366</v>
      </c>
      <c r="BM19" s="383">
        <f t="shared" si="36"/>
        <v>68.639168913899326</v>
      </c>
      <c r="BN19" s="383">
        <f t="shared" si="37"/>
        <v>320.81715809182322</v>
      </c>
      <c r="BO19" s="383">
        <f t="shared" si="38"/>
        <v>0</v>
      </c>
      <c r="BP19" s="383">
        <f t="shared" si="39"/>
        <v>995.20178772096051</v>
      </c>
      <c r="BQ19" s="445"/>
      <c r="BR19" s="383">
        <f t="shared" si="40"/>
        <v>265.40624178974412</v>
      </c>
      <c r="BS19" s="383">
        <f t="shared" si="41"/>
        <v>68.932787525441967</v>
      </c>
      <c r="BT19" s="383">
        <f t="shared" si="42"/>
        <v>251.72800636314366</v>
      </c>
      <c r="BU19" s="383">
        <f t="shared" si="43"/>
        <v>65.155731091518916</v>
      </c>
      <c r="BV19" s="383">
        <f t="shared" si="44"/>
        <v>321.7442951755632</v>
      </c>
      <c r="BW19" s="383">
        <f t="shared" si="94"/>
        <v>0</v>
      </c>
      <c r="BX19" s="385">
        <f t="shared" si="45"/>
        <v>972.96706194541184</v>
      </c>
      <c r="BY19" s="385"/>
      <c r="CA19" s="383">
        <f t="shared" si="46"/>
        <v>283.56168964485391</v>
      </c>
      <c r="CB19" s="383">
        <f t="shared" si="47"/>
        <v>73.450862961463855</v>
      </c>
      <c r="CC19" s="383">
        <f t="shared" si="48"/>
        <v>253.83864076403432</v>
      </c>
      <c r="CD19" s="383">
        <f t="shared" si="49"/>
        <v>69.42624616465433</v>
      </c>
      <c r="CE19" s="383">
        <f t="shared" si="50"/>
        <v>322.26387944051874</v>
      </c>
      <c r="CF19" s="383">
        <f t="shared" si="51"/>
        <v>0</v>
      </c>
      <c r="CG19" s="383">
        <f t="shared" si="52"/>
        <v>1002.5413189755252</v>
      </c>
      <c r="CH19" s="383"/>
      <c r="CI19" s="398"/>
      <c r="CJ19" s="383">
        <f t="shared" si="53"/>
        <v>268.44962384734345</v>
      </c>
      <c r="CK19" s="383">
        <f t="shared" si="54"/>
        <v>69.723231666169568</v>
      </c>
      <c r="CL19" s="383">
        <f t="shared" si="55"/>
        <v>252.84656835673718</v>
      </c>
      <c r="CM19" s="383">
        <f t="shared" si="56"/>
        <v>65.902864171798129</v>
      </c>
      <c r="CN19" s="383">
        <f t="shared" si="57"/>
        <v>323.26946821191353</v>
      </c>
      <c r="CO19" s="383">
        <f t="shared" si="58"/>
        <v>0</v>
      </c>
      <c r="CP19" s="383">
        <f t="shared" si="95"/>
        <v>980.19175625396178</v>
      </c>
      <c r="CR19" s="377">
        <f t="shared" si="59"/>
        <v>0.15708979531291301</v>
      </c>
      <c r="CS19" s="377">
        <f t="shared" si="60"/>
        <v>6.9554256746155799E-3</v>
      </c>
      <c r="CT19" s="377">
        <f t="shared" si="61"/>
        <v>9.2041070186726734E-2</v>
      </c>
      <c r="CU19" s="377">
        <f t="shared" si="62"/>
        <v>1.634899829586328E-3</v>
      </c>
      <c r="CV19" s="377">
        <f t="shared" si="63"/>
        <v>2.1522999463076495E-2</v>
      </c>
      <c r="CW19" s="377">
        <v>0</v>
      </c>
      <c r="CX19" s="377">
        <f t="shared" si="4"/>
        <v>0.27924419046691812</v>
      </c>
      <c r="CY19" s="377"/>
      <c r="CZ19" s="454"/>
      <c r="DA19" s="377">
        <f t="shared" si="64"/>
        <v>0.14871789103395547</v>
      </c>
      <c r="DB19" s="377">
        <f t="shared" si="65"/>
        <v>6.6024378216288388E-3</v>
      </c>
      <c r="DC19" s="377">
        <f t="shared" si="66"/>
        <v>9.1657907971013045E-2</v>
      </c>
      <c r="DD19" s="377">
        <f t="shared" si="67"/>
        <v>1.5519286632348218E-3</v>
      </c>
      <c r="DE19" s="377">
        <f t="shared" si="68"/>
        <v>2.1585199287656395E-2</v>
      </c>
      <c r="DF19" s="377">
        <v>0</v>
      </c>
      <c r="DG19" s="377">
        <f t="shared" si="69"/>
        <v>0.27011536477748854</v>
      </c>
      <c r="DJ19" s="377">
        <f t="shared" si="70"/>
        <v>0.1588911254597225</v>
      </c>
      <c r="DK19" s="377">
        <f t="shared" si="71"/>
        <v>7.0351827201106162E-3</v>
      </c>
      <c r="DL19" s="377">
        <f t="shared" si="72"/>
        <v>9.2426421321880378E-2</v>
      </c>
      <c r="DM19" s="377">
        <f t="shared" si="73"/>
        <v>1.6536470330197612E-3</v>
      </c>
      <c r="DN19" s="377">
        <f t="shared" si="74"/>
        <v>2.1620057185912762E-2</v>
      </c>
      <c r="DO19" s="377">
        <f t="shared" si="75"/>
        <v>0</v>
      </c>
      <c r="DP19" s="377">
        <f t="shared" si="96"/>
        <v>0.281626433720646</v>
      </c>
      <c r="DQ19" s="454"/>
      <c r="DS19" s="377">
        <f t="shared" si="76"/>
        <v>0.15042322154225343</v>
      </c>
      <c r="DT19" s="377">
        <f t="shared" si="77"/>
        <v>6.6781471970650012E-3</v>
      </c>
      <c r="DU19" s="377">
        <f t="shared" si="78"/>
        <v>9.2065193015493804E-2</v>
      </c>
      <c r="DV19" s="377">
        <f t="shared" si="79"/>
        <v>1.5697244460940081E-3</v>
      </c>
      <c r="DW19" s="377">
        <f t="shared" si="80"/>
        <v>2.1687520181706183E-2</v>
      </c>
      <c r="DX19" s="377">
        <f t="shared" si="81"/>
        <v>0</v>
      </c>
      <c r="DY19" s="402">
        <f t="shared" si="97"/>
        <v>0.27242380638261238</v>
      </c>
    </row>
    <row r="20" spans="2:129" x14ac:dyDescent="0.15">
      <c r="B20" s="461" t="s">
        <v>588</v>
      </c>
      <c r="C20" s="239">
        <v>11</v>
      </c>
      <c r="D20" s="239">
        <v>73</v>
      </c>
      <c r="E20" s="457">
        <f t="shared" si="5"/>
        <v>4.2999999999999997E-2</v>
      </c>
      <c r="F20" s="378">
        <v>1.12E-2</v>
      </c>
      <c r="G20" s="377">
        <f t="shared" si="6"/>
        <v>5.7616000000000001E-2</v>
      </c>
      <c r="H20" s="377">
        <f t="shared" si="7"/>
        <v>0.129636</v>
      </c>
      <c r="I20" s="377">
        <f t="shared" si="8"/>
        <v>8.6424000000000001E-2</v>
      </c>
      <c r="J20" s="377">
        <f t="shared" si="9"/>
        <v>0.13626184000000002</v>
      </c>
      <c r="K20" s="377">
        <f t="shared" si="10"/>
        <v>6.6834560000000001E-2</v>
      </c>
      <c r="L20" s="377"/>
      <c r="N20" s="377">
        <f t="shared" si="82"/>
        <v>0.30662421866167433</v>
      </c>
      <c r="O20" s="377">
        <f t="shared" si="83"/>
        <v>1.4757842992404959E-2</v>
      </c>
      <c r="P20" s="377">
        <f t="shared" si="84"/>
        <v>0.20451540309098107</v>
      </c>
      <c r="Q20" s="377">
        <f t="shared" si="85"/>
        <v>3.8439032910450128E-3</v>
      </c>
      <c r="R20" s="377">
        <f t="shared" si="86"/>
        <v>5.6645960735172772E-2</v>
      </c>
      <c r="S20" s="377">
        <f t="shared" si="87"/>
        <v>0.41361267122872192</v>
      </c>
      <c r="T20" s="377">
        <f t="shared" si="0"/>
        <v>1</v>
      </c>
      <c r="U20" s="377">
        <f t="shared" si="1"/>
        <v>0.58638732877127819</v>
      </c>
      <c r="V20" s="390"/>
      <c r="W20" s="377"/>
      <c r="X20" s="377">
        <f t="shared" si="11"/>
        <v>0.28948147184473744</v>
      </c>
      <c r="Y20" s="377">
        <f t="shared" si="12"/>
        <v>1.3971342197428478E-2</v>
      </c>
      <c r="Z20" s="377">
        <f t="shared" si="13"/>
        <v>0.20210023112173436</v>
      </c>
      <c r="AA20" s="377">
        <f t="shared" si="14"/>
        <v>3.6390472700278827E-3</v>
      </c>
      <c r="AB20" s="377">
        <f t="shared" si="15"/>
        <v>5.641306978232908E-2</v>
      </c>
      <c r="AC20" s="377">
        <f t="shared" si="16"/>
        <v>0.43439483778374283</v>
      </c>
      <c r="AD20" s="377">
        <f t="shared" si="17"/>
        <v>1</v>
      </c>
      <c r="AE20" s="377">
        <f t="shared" si="18"/>
        <v>0.56560516221625723</v>
      </c>
      <c r="AF20" s="377"/>
      <c r="AG20" s="390"/>
      <c r="AH20" s="377">
        <f t="shared" si="19"/>
        <v>0.64128077724999999</v>
      </c>
      <c r="AI20" s="377">
        <f t="shared" si="20"/>
        <v>0.59329896137500004</v>
      </c>
      <c r="AJ20" s="377">
        <f t="shared" si="21"/>
        <v>0.62528683862500012</v>
      </c>
      <c r="AK20" s="377">
        <f t="shared" si="22"/>
        <v>0.53541613587500003</v>
      </c>
      <c r="AL20" s="377">
        <f t="shared" si="23"/>
        <v>0.53541613587500003</v>
      </c>
      <c r="AM20" s="377">
        <v>0</v>
      </c>
      <c r="AN20" s="382"/>
      <c r="AP20" s="377">
        <f t="shared" si="24"/>
        <v>0.31014024239648774</v>
      </c>
      <c r="AQ20" s="377">
        <f t="shared" si="25"/>
        <v>1.4927069436625267E-2</v>
      </c>
      <c r="AR20" s="377">
        <f t="shared" si="26"/>
        <v>0.20547713556830452</v>
      </c>
      <c r="AS20" s="377">
        <f t="shared" si="27"/>
        <v>3.8879808765163487E-3</v>
      </c>
      <c r="AT20" s="377">
        <f t="shared" si="28"/>
        <v>5.6927481979597509E-2</v>
      </c>
      <c r="AU20" s="377">
        <f t="shared" si="29"/>
        <v>0.40864008974246879</v>
      </c>
      <c r="AV20" s="377">
        <f t="shared" si="2"/>
        <v>1</v>
      </c>
      <c r="AW20" s="377">
        <f t="shared" si="3"/>
        <v>0.59135991025753132</v>
      </c>
      <c r="AX20" s="389"/>
      <c r="AY20" s="377">
        <f t="shared" si="88"/>
        <v>0.29280092172458494</v>
      </c>
      <c r="AZ20" s="377">
        <f t="shared" si="89"/>
        <v>1.4131549929837119E-2</v>
      </c>
      <c r="BA20" s="377">
        <f t="shared" si="90"/>
        <v>0.20309404951769638</v>
      </c>
      <c r="BB20" s="377">
        <f t="shared" si="91"/>
        <v>3.6807757956785056E-3</v>
      </c>
      <c r="BC20" s="377">
        <f t="shared" si="92"/>
        <v>5.6704219098789053E-2</v>
      </c>
      <c r="BD20" s="377">
        <f t="shared" si="93"/>
        <v>0.4295884839334142</v>
      </c>
      <c r="BE20" s="377">
        <f t="shared" si="31"/>
        <v>1.0000000000000002</v>
      </c>
      <c r="BF20" s="377">
        <f t="shared" si="32"/>
        <v>0.57041151606658602</v>
      </c>
      <c r="BG20" s="452"/>
      <c r="BH20" s="453"/>
      <c r="BJ20" s="383">
        <f t="shared" si="33"/>
        <v>241.99565190203703</v>
      </c>
      <c r="BK20" s="383">
        <f t="shared" si="34"/>
        <v>63.040981595294106</v>
      </c>
      <c r="BL20" s="383">
        <f t="shared" si="35"/>
        <v>242.19873910307598</v>
      </c>
      <c r="BM20" s="383">
        <f t="shared" si="36"/>
        <v>59.586756781776359</v>
      </c>
      <c r="BN20" s="383">
        <f t="shared" si="37"/>
        <v>311.75983793169377</v>
      </c>
      <c r="BO20" s="383">
        <f t="shared" si="38"/>
        <v>0</v>
      </c>
      <c r="BP20" s="383">
        <f t="shared" si="39"/>
        <v>918.58196731387716</v>
      </c>
      <c r="BQ20" s="445"/>
      <c r="BR20" s="383">
        <f t="shared" si="40"/>
        <v>228.46615899549792</v>
      </c>
      <c r="BS20" s="383">
        <f t="shared" si="41"/>
        <v>59.681291282399911</v>
      </c>
      <c r="BT20" s="383">
        <f t="shared" si="42"/>
        <v>239.33855548449336</v>
      </c>
      <c r="BU20" s="383">
        <f t="shared" si="43"/>
        <v>56.411155062537567</v>
      </c>
      <c r="BV20" s="383">
        <f t="shared" si="44"/>
        <v>310.4780864215773</v>
      </c>
      <c r="BW20" s="383">
        <f t="shared" si="94"/>
        <v>0</v>
      </c>
      <c r="BX20" s="385">
        <f t="shared" si="45"/>
        <v>894.37524724650598</v>
      </c>
      <c r="BY20" s="385"/>
      <c r="CA20" s="383">
        <f t="shared" si="46"/>
        <v>244.77058748776139</v>
      </c>
      <c r="CB20" s="383">
        <f t="shared" si="47"/>
        <v>63.763865092633104</v>
      </c>
      <c r="CC20" s="383">
        <f t="shared" si="48"/>
        <v>243.33767724583578</v>
      </c>
      <c r="CD20" s="383">
        <f t="shared" si="49"/>
        <v>60.27003109076513</v>
      </c>
      <c r="CE20" s="383">
        <f t="shared" si="50"/>
        <v>313.30923380029787</v>
      </c>
      <c r="CF20" s="383">
        <f t="shared" si="51"/>
        <v>0</v>
      </c>
      <c r="CG20" s="383">
        <f t="shared" si="52"/>
        <v>925.45139471729328</v>
      </c>
      <c r="CH20" s="383"/>
      <c r="CI20" s="398"/>
      <c r="CJ20" s="383">
        <f t="shared" si="53"/>
        <v>231.08595348249568</v>
      </c>
      <c r="CK20" s="383">
        <f t="shared" si="54"/>
        <v>60.365649607352594</v>
      </c>
      <c r="CL20" s="383">
        <f t="shared" si="55"/>
        <v>240.51549159180632</v>
      </c>
      <c r="CM20" s="383">
        <f t="shared" si="56"/>
        <v>57.058015121321667</v>
      </c>
      <c r="CN20" s="383">
        <f t="shared" si="57"/>
        <v>312.0804718791714</v>
      </c>
      <c r="CO20" s="383">
        <f t="shared" si="58"/>
        <v>0</v>
      </c>
      <c r="CP20" s="383">
        <f t="shared" si="95"/>
        <v>901.10558168214766</v>
      </c>
      <c r="CR20" s="377">
        <f t="shared" si="59"/>
        <v>0.1346823943981322</v>
      </c>
      <c r="CS20" s="377">
        <f t="shared" si="60"/>
        <v>5.9972565294466925E-3</v>
      </c>
      <c r="CT20" s="377">
        <f t="shared" si="61"/>
        <v>8.7591398875299181E-2</v>
      </c>
      <c r="CU20" s="377">
        <f t="shared" si="62"/>
        <v>1.4096784491223536E-3</v>
      </c>
      <c r="CV20" s="377">
        <f t="shared" si="63"/>
        <v>2.0773829108612973E-2</v>
      </c>
      <c r="CW20" s="377">
        <v>0</v>
      </c>
      <c r="CX20" s="377">
        <f t="shared" si="4"/>
        <v>0.25045455736061339</v>
      </c>
      <c r="CY20" s="377"/>
      <c r="CZ20" s="454"/>
      <c r="DA20" s="377">
        <f t="shared" si="64"/>
        <v>0.12715257109212141</v>
      </c>
      <c r="DB20" s="377">
        <f t="shared" si="65"/>
        <v>5.6776402392804924E-3</v>
      </c>
      <c r="DC20" s="377">
        <f t="shared" si="66"/>
        <v>8.655701081399203E-2</v>
      </c>
      <c r="DD20" s="377">
        <f t="shared" si="67"/>
        <v>1.3345513982744393E-3</v>
      </c>
      <c r="DE20" s="377">
        <f t="shared" si="68"/>
        <v>2.0688420779536601E-2</v>
      </c>
      <c r="DF20" s="377">
        <v>0</v>
      </c>
      <c r="DG20" s="377">
        <f t="shared" si="69"/>
        <v>0.24141019432320499</v>
      </c>
      <c r="DJ20" s="377">
        <f t="shared" si="70"/>
        <v>0.13622678152264645</v>
      </c>
      <c r="DK20" s="377">
        <f t="shared" si="71"/>
        <v>6.0660263624146664E-3</v>
      </c>
      <c r="DL20" s="377">
        <f t="shared" si="72"/>
        <v>8.8003296912118903E-2</v>
      </c>
      <c r="DM20" s="377">
        <f t="shared" si="73"/>
        <v>1.4258430655613376E-3</v>
      </c>
      <c r="DN20" s="377">
        <f t="shared" si="74"/>
        <v>2.0877071672534959E-2</v>
      </c>
      <c r="DO20" s="377">
        <f t="shared" si="75"/>
        <v>0</v>
      </c>
      <c r="DP20" s="377">
        <f t="shared" si="96"/>
        <v>0.2525990195352763</v>
      </c>
      <c r="DQ20" s="454"/>
      <c r="DS20" s="377">
        <f t="shared" si="76"/>
        <v>0.12861061462127835</v>
      </c>
      <c r="DT20" s="377">
        <f t="shared" si="77"/>
        <v>5.7427450699627305E-3</v>
      </c>
      <c r="DU20" s="377">
        <f t="shared" si="78"/>
        <v>8.6982650849973045E-2</v>
      </c>
      <c r="DV20" s="377">
        <f t="shared" si="79"/>
        <v>1.3498545416860781E-3</v>
      </c>
      <c r="DW20" s="377">
        <f t="shared" si="80"/>
        <v>2.0795194255822148E-2</v>
      </c>
      <c r="DX20" s="377">
        <f t="shared" si="81"/>
        <v>0</v>
      </c>
      <c r="DY20" s="402">
        <f t="shared" si="97"/>
        <v>0.24348105933872233</v>
      </c>
    </row>
    <row r="21" spans="2:129" x14ac:dyDescent="0.15">
      <c r="B21" s="461" t="s">
        <v>588</v>
      </c>
      <c r="C21" s="239">
        <v>12</v>
      </c>
      <c r="D21" s="239">
        <v>74</v>
      </c>
      <c r="E21" s="457">
        <f t="shared" si="5"/>
        <v>4.2999999999999997E-2</v>
      </c>
      <c r="F21" s="378">
        <v>1.12E-2</v>
      </c>
      <c r="G21" s="377">
        <f t="shared" si="6"/>
        <v>6.3379500000000005E-2</v>
      </c>
      <c r="H21" s="377">
        <f t="shared" si="7"/>
        <v>0.14260387499999999</v>
      </c>
      <c r="I21" s="377">
        <f t="shared" si="8"/>
        <v>9.5069249999999994E-2</v>
      </c>
      <c r="J21" s="377">
        <f t="shared" si="9"/>
        <v>0.14989251750000002</v>
      </c>
      <c r="K21" s="377">
        <f t="shared" si="10"/>
        <v>7.3520219999999997E-2</v>
      </c>
      <c r="L21" s="377"/>
      <c r="N21" s="377">
        <f t="shared" si="82"/>
        <v>0.27233872502780054</v>
      </c>
      <c r="O21" s="377">
        <f t="shared" si="83"/>
        <v>1.3184841402451995E-2</v>
      </c>
      <c r="P21" s="377">
        <f t="shared" si="84"/>
        <v>0.19968505915248769</v>
      </c>
      <c r="Q21" s="377">
        <f t="shared" si="85"/>
        <v>3.4341912490107526E-3</v>
      </c>
      <c r="R21" s="377">
        <f t="shared" si="86"/>
        <v>5.6180178829485387E-2</v>
      </c>
      <c r="S21" s="377">
        <f t="shared" si="87"/>
        <v>0.45517700433876374</v>
      </c>
      <c r="T21" s="377">
        <f t="shared" si="0"/>
        <v>1</v>
      </c>
      <c r="U21" s="377">
        <f t="shared" si="1"/>
        <v>0.54482299566123638</v>
      </c>
      <c r="V21" s="390"/>
      <c r="W21" s="377"/>
      <c r="X21" s="377">
        <f t="shared" si="11"/>
        <v>0.25632799946809742</v>
      </c>
      <c r="Y21" s="377">
        <f t="shared" si="12"/>
        <v>1.2447703289323708E-2</v>
      </c>
      <c r="Z21" s="377">
        <f t="shared" si="13"/>
        <v>0.19584542071117234</v>
      </c>
      <c r="AA21" s="377">
        <f t="shared" si="14"/>
        <v>3.2421924846610592E-3</v>
      </c>
      <c r="AB21" s="377">
        <f t="shared" si="15"/>
        <v>5.5574705114453865E-2</v>
      </c>
      <c r="AC21" s="377">
        <f t="shared" si="16"/>
        <v>0.47656197893229174</v>
      </c>
      <c r="AD21" s="377">
        <f t="shared" si="17"/>
        <v>1.0000000000000002</v>
      </c>
      <c r="AE21" s="377">
        <f t="shared" si="18"/>
        <v>0.52343802106770843</v>
      </c>
      <c r="AF21" s="377"/>
      <c r="AG21" s="390"/>
      <c r="AH21" s="377">
        <f t="shared" si="19"/>
        <v>0.63685581465000007</v>
      </c>
      <c r="AI21" s="377">
        <f t="shared" si="20"/>
        <v>0.58920508267499994</v>
      </c>
      <c r="AJ21" s="377">
        <f t="shared" si="21"/>
        <v>0.62097223732499995</v>
      </c>
      <c r="AK21" s="377">
        <f t="shared" si="22"/>
        <v>0.53172165997499998</v>
      </c>
      <c r="AL21" s="377">
        <f t="shared" si="23"/>
        <v>0.53172165997499998</v>
      </c>
      <c r="AM21" s="377">
        <v>0</v>
      </c>
      <c r="AN21" s="382"/>
      <c r="AP21" s="377">
        <f t="shared" si="24"/>
        <v>0.27546160105268208</v>
      </c>
      <c r="AQ21" s="377">
        <f t="shared" si="25"/>
        <v>1.3336030423048971E-2</v>
      </c>
      <c r="AR21" s="377">
        <f t="shared" si="26"/>
        <v>0.20071096346708828</v>
      </c>
      <c r="AS21" s="377">
        <f t="shared" si="27"/>
        <v>3.4735707148406628E-3</v>
      </c>
      <c r="AT21" s="377">
        <f t="shared" si="28"/>
        <v>5.6480956217980598E-2</v>
      </c>
      <c r="AU21" s="377">
        <f t="shared" si="29"/>
        <v>0.45053687812435966</v>
      </c>
      <c r="AV21" s="377">
        <f t="shared" si="2"/>
        <v>1.0000000000000002</v>
      </c>
      <c r="AW21" s="377">
        <f t="shared" si="3"/>
        <v>0.54946312187564061</v>
      </c>
      <c r="AX21" s="389"/>
      <c r="AY21" s="377">
        <f t="shared" si="88"/>
        <v>0.25926728239219515</v>
      </c>
      <c r="AZ21" s="377">
        <f t="shared" si="89"/>
        <v>1.2590439634157149E-2</v>
      </c>
      <c r="BA21" s="377">
        <f t="shared" si="90"/>
        <v>0.19688737348909369</v>
      </c>
      <c r="BB21" s="377">
        <f t="shared" si="91"/>
        <v>3.2793703233153513E-3</v>
      </c>
      <c r="BC21" s="377">
        <f t="shared" si="92"/>
        <v>5.5881164282341911E-2</v>
      </c>
      <c r="BD21" s="377">
        <f t="shared" si="93"/>
        <v>0.47209436987889697</v>
      </c>
      <c r="BE21" s="377">
        <f t="shared" si="31"/>
        <v>1.0000000000000002</v>
      </c>
      <c r="BF21" s="377">
        <f t="shared" si="32"/>
        <v>0.52790563012110325</v>
      </c>
      <c r="BG21" s="452"/>
      <c r="BH21" s="453"/>
      <c r="BJ21" s="383">
        <f t="shared" si="33"/>
        <v>207.66827641445303</v>
      </c>
      <c r="BK21" s="383">
        <f t="shared" si="34"/>
        <v>54.417005767638358</v>
      </c>
      <c r="BL21" s="383">
        <f t="shared" si="35"/>
        <v>228.4815187110249</v>
      </c>
      <c r="BM21" s="383">
        <f t="shared" si="36"/>
        <v>51.435317239902197</v>
      </c>
      <c r="BN21" s="383">
        <f t="shared" si="37"/>
        <v>298.74042020431</v>
      </c>
      <c r="BO21" s="383">
        <f t="shared" si="38"/>
        <v>0</v>
      </c>
      <c r="BP21" s="383">
        <f t="shared" si="39"/>
        <v>840.7425383373286</v>
      </c>
      <c r="BQ21" s="445"/>
      <c r="BR21" s="383">
        <f t="shared" si="40"/>
        <v>195.45951036111643</v>
      </c>
      <c r="BS21" s="383">
        <f t="shared" si="41"/>
        <v>51.374659809181232</v>
      </c>
      <c r="BT21" s="383">
        <f t="shared" si="42"/>
        <v>224.08816837176374</v>
      </c>
      <c r="BU21" s="383">
        <f t="shared" si="43"/>
        <v>48.559671523653741</v>
      </c>
      <c r="BV21" s="383">
        <f t="shared" si="44"/>
        <v>295.52078872894259</v>
      </c>
      <c r="BW21" s="383">
        <f t="shared" si="94"/>
        <v>0</v>
      </c>
      <c r="BX21" s="385">
        <f t="shared" si="45"/>
        <v>815.00279879465779</v>
      </c>
      <c r="BY21" s="385"/>
      <c r="CA21" s="383">
        <f t="shared" si="46"/>
        <v>210.0495840359709</v>
      </c>
      <c r="CB21" s="383">
        <f t="shared" si="47"/>
        <v>55.040999151760467</v>
      </c>
      <c r="CC21" s="383">
        <f t="shared" si="48"/>
        <v>229.65536805582309</v>
      </c>
      <c r="CD21" s="383">
        <f t="shared" si="49"/>
        <v>52.025119953505516</v>
      </c>
      <c r="CE21" s="383">
        <f t="shared" si="50"/>
        <v>300.33981638458442</v>
      </c>
      <c r="CF21" s="383">
        <f t="shared" si="51"/>
        <v>0</v>
      </c>
      <c r="CG21" s="383">
        <f t="shared" si="52"/>
        <v>847.11088758164442</v>
      </c>
      <c r="CH21" s="383"/>
      <c r="CI21" s="398"/>
      <c r="CJ21" s="383">
        <f t="shared" si="53"/>
        <v>197.70082150289215</v>
      </c>
      <c r="CK21" s="383">
        <f t="shared" si="54"/>
        <v>51.963766971183837</v>
      </c>
      <c r="CL21" s="383">
        <f t="shared" si="55"/>
        <v>225.28038051890715</v>
      </c>
      <c r="CM21" s="383">
        <f t="shared" si="56"/>
        <v>49.116499547144933</v>
      </c>
      <c r="CN21" s="383">
        <f t="shared" si="57"/>
        <v>297.15039800569849</v>
      </c>
      <c r="CO21" s="383">
        <f t="shared" si="58"/>
        <v>0</v>
      </c>
      <c r="CP21" s="383">
        <f t="shared" si="95"/>
        <v>821.21186654582652</v>
      </c>
      <c r="CR21" s="377">
        <f t="shared" si="59"/>
        <v>0.11478002653625753</v>
      </c>
      <c r="CS21" s="377">
        <f t="shared" si="60"/>
        <v>5.1411135627888365E-3</v>
      </c>
      <c r="CT21" s="377">
        <f t="shared" si="61"/>
        <v>8.206038642880327E-2</v>
      </c>
      <c r="CU21" s="377">
        <f t="shared" si="62"/>
        <v>1.2084387183322145E-3</v>
      </c>
      <c r="CV21" s="377">
        <f t="shared" si="63"/>
        <v>1.9768934918791812E-2</v>
      </c>
      <c r="CW21" s="377">
        <v>0</v>
      </c>
      <c r="CX21" s="377">
        <f t="shared" si="4"/>
        <v>0.22295890016497363</v>
      </c>
      <c r="CY21" s="377"/>
      <c r="CZ21" s="454"/>
      <c r="DA21" s="377">
        <f t="shared" si="64"/>
        <v>0.1080321374711976</v>
      </c>
      <c r="DB21" s="377">
        <f t="shared" si="65"/>
        <v>4.8536841857204378E-3</v>
      </c>
      <c r="DC21" s="377">
        <f t="shared" si="66"/>
        <v>8.0482490638409579E-2</v>
      </c>
      <c r="DD21" s="377">
        <f t="shared" si="67"/>
        <v>1.1408773264676968E-3</v>
      </c>
      <c r="DE21" s="377">
        <f t="shared" si="68"/>
        <v>1.9555878094892648E-2</v>
      </c>
      <c r="DF21" s="377">
        <v>0</v>
      </c>
      <c r="DG21" s="377">
        <f t="shared" si="69"/>
        <v>0.21406506771668796</v>
      </c>
      <c r="DJ21" s="377">
        <f t="shared" si="70"/>
        <v>0.11609619555690913</v>
      </c>
      <c r="DK21" s="377">
        <f t="shared" si="71"/>
        <v>5.2000661053800065E-3</v>
      </c>
      <c r="DL21" s="377">
        <f t="shared" si="72"/>
        <v>8.2481980837781119E-2</v>
      </c>
      <c r="DM21" s="377">
        <f t="shared" si="73"/>
        <v>1.2222957425238089E-3</v>
      </c>
      <c r="DN21" s="377">
        <f t="shared" si="74"/>
        <v>1.9874773823937576E-2</v>
      </c>
      <c r="DO21" s="377">
        <f t="shared" si="75"/>
        <v>0</v>
      </c>
      <c r="DP21" s="377">
        <f t="shared" si="96"/>
        <v>0.22487531206653164</v>
      </c>
      <c r="DQ21" s="454"/>
      <c r="DS21" s="377">
        <f t="shared" si="76"/>
        <v>0.10927092924416733</v>
      </c>
      <c r="DT21" s="377">
        <f t="shared" si="77"/>
        <v>4.9093408095604212E-3</v>
      </c>
      <c r="DU21" s="377">
        <f t="shared" si="78"/>
        <v>8.0910680148229122E-2</v>
      </c>
      <c r="DV21" s="377">
        <f t="shared" si="79"/>
        <v>1.1539596321507879E-3</v>
      </c>
      <c r="DW21" s="377">
        <f t="shared" si="80"/>
        <v>1.9663716330218205E-2</v>
      </c>
      <c r="DX21" s="377">
        <f t="shared" si="81"/>
        <v>0</v>
      </c>
      <c r="DY21" s="402">
        <f t="shared" si="97"/>
        <v>0.21590862616432588</v>
      </c>
    </row>
    <row r="22" spans="2:129" x14ac:dyDescent="0.15">
      <c r="B22" s="461" t="s">
        <v>588</v>
      </c>
      <c r="C22" s="239">
        <v>13</v>
      </c>
      <c r="D22" s="239">
        <v>75</v>
      </c>
      <c r="E22" s="457">
        <f t="shared" si="5"/>
        <v>4.2999999999999997E-2</v>
      </c>
      <c r="F22" s="378">
        <v>1.12E-2</v>
      </c>
      <c r="G22" s="377">
        <f t="shared" si="6"/>
        <v>7.0736999999999994E-2</v>
      </c>
      <c r="H22" s="377">
        <f t="shared" si="7"/>
        <v>0.15915824999999997</v>
      </c>
      <c r="I22" s="377">
        <f t="shared" si="8"/>
        <v>0.10610549999999999</v>
      </c>
      <c r="J22" s="377">
        <f t="shared" si="9"/>
        <v>0.16729300499999999</v>
      </c>
      <c r="K22" s="377">
        <f t="shared" si="10"/>
        <v>8.2054920000000003E-2</v>
      </c>
      <c r="L22" s="377"/>
      <c r="N22" s="377">
        <f t="shared" si="82"/>
        <v>0.24031727390839427</v>
      </c>
      <c r="O22" s="377">
        <f t="shared" si="83"/>
        <v>1.1710565176195422E-2</v>
      </c>
      <c r="P22" s="377">
        <f t="shared" si="84"/>
        <v>0.19200578226985696</v>
      </c>
      <c r="Q22" s="377">
        <f t="shared" si="85"/>
        <v>3.0501937203113662E-3</v>
      </c>
      <c r="R22" s="377">
        <f t="shared" si="86"/>
        <v>5.4969231399422343E-2</v>
      </c>
      <c r="S22" s="377">
        <f t="shared" si="87"/>
        <v>0.49794695352581975</v>
      </c>
      <c r="T22" s="377">
        <f t="shared" si="0"/>
        <v>1</v>
      </c>
      <c r="U22" s="377">
        <f t="shared" si="1"/>
        <v>0.50205304647418036</v>
      </c>
      <c r="V22" s="390"/>
      <c r="W22" s="377"/>
      <c r="X22" s="377">
        <f t="shared" si="11"/>
        <v>0.22530501428324773</v>
      </c>
      <c r="Y22" s="377">
        <f t="shared" si="12"/>
        <v>1.1022103977128187E-2</v>
      </c>
      <c r="Z22" s="377">
        <f t="shared" si="13"/>
        <v>0.18674271356266042</v>
      </c>
      <c r="AA22" s="377">
        <f t="shared" si="14"/>
        <v>2.8708735940426913E-3</v>
      </c>
      <c r="AB22" s="377">
        <f t="shared" si="15"/>
        <v>5.3983942280455971E-2</v>
      </c>
      <c r="AC22" s="377">
        <f t="shared" si="16"/>
        <v>0.52007535230246504</v>
      </c>
      <c r="AD22" s="377">
        <f t="shared" si="17"/>
        <v>1</v>
      </c>
      <c r="AE22" s="377">
        <f t="shared" si="18"/>
        <v>0.47992464769753507</v>
      </c>
      <c r="AF22" s="377"/>
      <c r="AG22" s="390"/>
      <c r="AH22" s="377">
        <f t="shared" si="19"/>
        <v>0.63237494324999999</v>
      </c>
      <c r="AI22" s="377">
        <f t="shared" si="20"/>
        <v>0.58505947837500005</v>
      </c>
      <c r="AJ22" s="377">
        <f t="shared" si="21"/>
        <v>0.61660312162500008</v>
      </c>
      <c r="AK22" s="377">
        <f t="shared" si="22"/>
        <v>0.52798050487500003</v>
      </c>
      <c r="AL22" s="377">
        <f t="shared" si="23"/>
        <v>0.52798050487500003</v>
      </c>
      <c r="AM22" s="377">
        <v>0</v>
      </c>
      <c r="AN22" s="382"/>
      <c r="AP22" s="377">
        <f t="shared" si="24"/>
        <v>0.24307296373170825</v>
      </c>
      <c r="AQ22" s="377">
        <f t="shared" si="25"/>
        <v>1.1844848845265328E-2</v>
      </c>
      <c r="AR22" s="377">
        <f t="shared" si="26"/>
        <v>0.1930637835110991</v>
      </c>
      <c r="AS22" s="377">
        <f t="shared" si="27"/>
        <v>3.0851699317900392E-3</v>
      </c>
      <c r="AT22" s="377">
        <f t="shared" si="28"/>
        <v>5.5281372346703217E-2</v>
      </c>
      <c r="AU22" s="377">
        <f t="shared" si="29"/>
        <v>0.49365186163343433</v>
      </c>
      <c r="AV22" s="377">
        <f t="shared" si="2"/>
        <v>1.0000000000000004</v>
      </c>
      <c r="AW22" s="377">
        <f t="shared" si="3"/>
        <v>0.506348138366566</v>
      </c>
      <c r="AX22" s="389"/>
      <c r="AY22" s="377">
        <f t="shared" si="88"/>
        <v>0.22788856029683402</v>
      </c>
      <c r="AZ22" s="377">
        <f t="shared" si="89"/>
        <v>1.1148493142864391E-2</v>
      </c>
      <c r="BA22" s="377">
        <f t="shared" si="90"/>
        <v>0.18780104058619984</v>
      </c>
      <c r="BB22" s="377">
        <f t="shared" si="91"/>
        <v>2.903793562792586E-3</v>
      </c>
      <c r="BC22" s="377">
        <f t="shared" si="92"/>
        <v>5.4297839345486362E-2</v>
      </c>
      <c r="BD22" s="377">
        <f t="shared" si="93"/>
        <v>0.51596027306582304</v>
      </c>
      <c r="BE22" s="377">
        <f t="shared" si="31"/>
        <v>1.0000000000000002</v>
      </c>
      <c r="BF22" s="377">
        <f t="shared" si="32"/>
        <v>0.48403972693417718</v>
      </c>
      <c r="BG22" s="452"/>
      <c r="BH22" s="453"/>
      <c r="BJ22" s="383">
        <f t="shared" si="33"/>
        <v>177.05385923456996</v>
      </c>
      <c r="BK22" s="383">
        <f t="shared" si="34"/>
        <v>46.697887778477408</v>
      </c>
      <c r="BL22" s="383">
        <f t="shared" si="35"/>
        <v>212.26552466908467</v>
      </c>
      <c r="BM22" s="383">
        <f t="shared" si="36"/>
        <v>44.13915536947372</v>
      </c>
      <c r="BN22" s="383">
        <f t="shared" si="37"/>
        <v>282.41657705659441</v>
      </c>
      <c r="BO22" s="383">
        <f t="shared" si="38"/>
        <v>0</v>
      </c>
      <c r="BP22" s="383">
        <f t="shared" si="39"/>
        <v>762.57300410820017</v>
      </c>
      <c r="BQ22" s="445"/>
      <c r="BR22" s="383">
        <f t="shared" si="40"/>
        <v>165.99357022897522</v>
      </c>
      <c r="BS22" s="383">
        <f t="shared" si="41"/>
        <v>43.952530630452671</v>
      </c>
      <c r="BT22" s="383">
        <f t="shared" si="42"/>
        <v>206.4471163519207</v>
      </c>
      <c r="BU22" s="383">
        <f t="shared" si="43"/>
        <v>41.544225460091205</v>
      </c>
      <c r="BV22" s="383">
        <f t="shared" si="44"/>
        <v>277.35443641344705</v>
      </c>
      <c r="BW22" s="383">
        <f t="shared" si="94"/>
        <v>0</v>
      </c>
      <c r="BX22" s="385">
        <f t="shared" si="45"/>
        <v>735.29187908488677</v>
      </c>
      <c r="BY22" s="385"/>
      <c r="CA22" s="383">
        <f t="shared" si="46"/>
        <v>179.08411494667973</v>
      </c>
      <c r="CB22" s="383">
        <f t="shared" si="47"/>
        <v>47.233366947446605</v>
      </c>
      <c r="CC22" s="383">
        <f t="shared" si="48"/>
        <v>213.43516230144081</v>
      </c>
      <c r="CD22" s="383">
        <f t="shared" si="49"/>
        <v>44.645293855830296</v>
      </c>
      <c r="CE22" s="383">
        <f t="shared" si="50"/>
        <v>284.0202701708335</v>
      </c>
      <c r="CF22" s="383">
        <f t="shared" si="51"/>
        <v>0</v>
      </c>
      <c r="CG22" s="383">
        <f t="shared" si="52"/>
        <v>768.41820822223099</v>
      </c>
      <c r="CH22" s="383"/>
      <c r="CI22" s="398"/>
      <c r="CJ22" s="383">
        <f t="shared" si="53"/>
        <v>167.89699891213306</v>
      </c>
      <c r="CK22" s="383">
        <f t="shared" si="54"/>
        <v>44.456529112947955</v>
      </c>
      <c r="CL22" s="383">
        <f t="shared" si="55"/>
        <v>207.61711414192126</v>
      </c>
      <c r="CM22" s="383">
        <f t="shared" si="56"/>
        <v>42.020608191369497</v>
      </c>
      <c r="CN22" s="383">
        <f t="shared" si="57"/>
        <v>278.96715197080744</v>
      </c>
      <c r="CO22" s="383">
        <f t="shared" si="58"/>
        <v>0</v>
      </c>
      <c r="CP22" s="383">
        <f t="shared" si="95"/>
        <v>740.95840232917919</v>
      </c>
      <c r="CR22" s="377">
        <f t="shared" si="59"/>
        <v>9.7170647118735173E-2</v>
      </c>
      <c r="CS22" s="377">
        <f t="shared" si="60"/>
        <v>4.380799005256451E-3</v>
      </c>
      <c r="CT22" s="377">
        <f t="shared" si="61"/>
        <v>7.5699930272264349E-2</v>
      </c>
      <c r="CU22" s="377">
        <f t="shared" si="62"/>
        <v>1.0297238274408812E-3</v>
      </c>
      <c r="CV22" s="377">
        <f t="shared" si="63"/>
        <v>1.8557223749814337E-2</v>
      </c>
      <c r="CW22" s="377">
        <v>0</v>
      </c>
      <c r="CX22" s="377">
        <f t="shared" si="4"/>
        <v>0.1968383239735112</v>
      </c>
      <c r="CY22" s="377"/>
      <c r="CZ22" s="454"/>
      <c r="DA22" s="377">
        <f t="shared" si="64"/>
        <v>9.1100542549198457E-2</v>
      </c>
      <c r="DB22" s="377">
        <f t="shared" si="65"/>
        <v>4.1232529269371754E-3</v>
      </c>
      <c r="DC22" s="377">
        <f t="shared" si="66"/>
        <v>7.3624920189531748E-2</v>
      </c>
      <c r="DD22" s="377">
        <f t="shared" si="67"/>
        <v>9.6918662105658867E-4</v>
      </c>
      <c r="DE22" s="377">
        <f t="shared" si="68"/>
        <v>1.8224597111721877E-2</v>
      </c>
      <c r="DF22" s="377">
        <v>0</v>
      </c>
      <c r="DG22" s="377">
        <f t="shared" si="69"/>
        <v>0.18804249939844586</v>
      </c>
      <c r="DJ22" s="377">
        <f t="shared" si="70"/>
        <v>9.8284891463450902E-2</v>
      </c>
      <c r="DK22" s="377">
        <f t="shared" si="71"/>
        <v>4.4310331105308432E-3</v>
      </c>
      <c r="DL22" s="377">
        <f t="shared" si="72"/>
        <v>7.6117056356922758E-2</v>
      </c>
      <c r="DM22" s="377">
        <f t="shared" si="73"/>
        <v>1.0415315490663536E-3</v>
      </c>
      <c r="DN22" s="377">
        <f t="shared" si="74"/>
        <v>1.8662600325995302E-2</v>
      </c>
      <c r="DO22" s="377">
        <f t="shared" si="75"/>
        <v>0</v>
      </c>
      <c r="DP22" s="377">
        <f t="shared" si="96"/>
        <v>0.19853711280596614</v>
      </c>
      <c r="DQ22" s="454"/>
      <c r="DS22" s="377">
        <f t="shared" si="76"/>
        <v>9.2145181721066324E-2</v>
      </c>
      <c r="DT22" s="377">
        <f t="shared" si="77"/>
        <v>4.1705337817210123E-3</v>
      </c>
      <c r="DU22" s="377">
        <f t="shared" si="78"/>
        <v>7.404217471666151E-2</v>
      </c>
      <c r="DV22" s="377">
        <f t="shared" si="79"/>
        <v>9.8030016967963008E-4</v>
      </c>
      <c r="DW22" s="377">
        <f t="shared" si="80"/>
        <v>1.8330566540834911E-2</v>
      </c>
      <c r="DX22" s="377">
        <f t="shared" si="81"/>
        <v>0</v>
      </c>
      <c r="DY22" s="402">
        <f t="shared" si="97"/>
        <v>0.18966875692996338</v>
      </c>
    </row>
    <row r="23" spans="2:129" x14ac:dyDescent="0.15">
      <c r="B23" s="461" t="s">
        <v>588</v>
      </c>
      <c r="C23" s="239">
        <v>14</v>
      </c>
      <c r="D23" s="239">
        <v>76</v>
      </c>
      <c r="E23" s="457">
        <f t="shared" si="5"/>
        <v>4.2999999999999997E-2</v>
      </c>
      <c r="F23" s="378">
        <v>1.12E-2</v>
      </c>
      <c r="G23" s="377">
        <f t="shared" si="6"/>
        <v>7.9596500000000001E-2</v>
      </c>
      <c r="H23" s="377">
        <f t="shared" si="7"/>
        <v>0.17909212499999999</v>
      </c>
      <c r="I23" s="377">
        <f t="shared" si="8"/>
        <v>0.11939474999999999</v>
      </c>
      <c r="J23" s="377">
        <f t="shared" si="9"/>
        <v>0.18824572250000002</v>
      </c>
      <c r="K23" s="377">
        <f t="shared" si="10"/>
        <v>9.2331940000000001E-2</v>
      </c>
      <c r="L23" s="377"/>
      <c r="N23" s="377">
        <f t="shared" si="82"/>
        <v>0.21029275465810121</v>
      </c>
      <c r="O23" s="377">
        <f t="shared" si="83"/>
        <v>1.0333642778060953E-2</v>
      </c>
      <c r="P23" s="377">
        <f t="shared" si="84"/>
        <v>0.18147964485546386</v>
      </c>
      <c r="Q23" s="377">
        <f t="shared" si="85"/>
        <v>2.6915534677740159E-3</v>
      </c>
      <c r="R23" s="377">
        <f t="shared" si="86"/>
        <v>5.2998653161489599E-2</v>
      </c>
      <c r="S23" s="377">
        <f t="shared" si="87"/>
        <v>0.54220375107911045</v>
      </c>
      <c r="T23" s="377">
        <f t="shared" si="0"/>
        <v>1</v>
      </c>
      <c r="U23" s="377">
        <f t="shared" si="1"/>
        <v>0.45779624892088966</v>
      </c>
      <c r="V23" s="390"/>
      <c r="W23" s="377"/>
      <c r="X23" s="377">
        <f t="shared" si="11"/>
        <v>0.19622453738379489</v>
      </c>
      <c r="Y23" s="377">
        <f t="shared" si="12"/>
        <v>9.6881156141796522E-3</v>
      </c>
      <c r="Z23" s="377">
        <f t="shared" si="13"/>
        <v>0.17488727080863398</v>
      </c>
      <c r="AA23" s="377">
        <f t="shared" si="14"/>
        <v>2.5234161599723744E-3</v>
      </c>
      <c r="AB23" s="377">
        <f t="shared" si="15"/>
        <v>5.164435894988862E-2</v>
      </c>
      <c r="AC23" s="377">
        <f t="shared" si="16"/>
        <v>0.56503230108353053</v>
      </c>
      <c r="AD23" s="377">
        <f t="shared" si="17"/>
        <v>1.0000000000000002</v>
      </c>
      <c r="AE23" s="377">
        <f t="shared" si="18"/>
        <v>0.43496769891646953</v>
      </c>
      <c r="AF23" s="377"/>
      <c r="AG23" s="390"/>
      <c r="AH23" s="377">
        <f t="shared" si="19"/>
        <v>0.62783816304999995</v>
      </c>
      <c r="AI23" s="377">
        <f t="shared" si="20"/>
        <v>0.58086214847500006</v>
      </c>
      <c r="AJ23" s="377">
        <f t="shared" si="21"/>
        <v>0.61217949152499995</v>
      </c>
      <c r="AK23" s="377">
        <f t="shared" si="22"/>
        <v>0.52419267057499996</v>
      </c>
      <c r="AL23" s="377">
        <f t="shared" si="23"/>
        <v>0.52419267057499996</v>
      </c>
      <c r="AM23" s="377">
        <v>0</v>
      </c>
      <c r="AN23" s="382"/>
      <c r="AP23" s="377">
        <f t="shared" si="24"/>
        <v>0.21270415686195981</v>
      </c>
      <c r="AQ23" s="377">
        <f t="shared" si="25"/>
        <v>1.0452137440463454E-2</v>
      </c>
      <c r="AR23" s="377">
        <f t="shared" si="26"/>
        <v>0.18253829766130056</v>
      </c>
      <c r="AS23" s="377">
        <f t="shared" si="27"/>
        <v>2.7224171937951323E-3</v>
      </c>
      <c r="AT23" s="377">
        <f t="shared" si="28"/>
        <v>5.3314306344269508E-2</v>
      </c>
      <c r="AU23" s="377">
        <f t="shared" si="29"/>
        <v>0.53826868449821186</v>
      </c>
      <c r="AV23" s="377">
        <f t="shared" si="2"/>
        <v>1.0000000000000004</v>
      </c>
      <c r="AW23" s="377">
        <f t="shared" si="3"/>
        <v>0.46173131550178848</v>
      </c>
      <c r="AX23" s="389"/>
      <c r="AY23" s="377">
        <f t="shared" si="88"/>
        <v>0.19847462100016922</v>
      </c>
      <c r="AZ23" s="377">
        <f t="shared" si="89"/>
        <v>9.7992080927638628E-3</v>
      </c>
      <c r="BA23" s="377">
        <f t="shared" si="90"/>
        <v>0.17593136142168167</v>
      </c>
      <c r="BB23" s="377">
        <f t="shared" si="91"/>
        <v>2.5523518753245412E-3</v>
      </c>
      <c r="BC23" s="377">
        <f t="shared" si="92"/>
        <v>5.1957966578110526E-2</v>
      </c>
      <c r="BD23" s="377">
        <f t="shared" si="93"/>
        <v>0.56128449103195055</v>
      </c>
      <c r="BE23" s="377">
        <f t="shared" si="31"/>
        <v>1.0000000000000004</v>
      </c>
      <c r="BF23" s="377">
        <f t="shared" si="32"/>
        <v>0.43871550896804984</v>
      </c>
      <c r="BG23" s="452"/>
      <c r="BH23" s="453"/>
      <c r="BJ23" s="383">
        <f t="shared" si="33"/>
        <v>149.69399152017434</v>
      </c>
      <c r="BK23" s="383">
        <f t="shared" si="34"/>
        <v>39.813694185920696</v>
      </c>
      <c r="BL23" s="383">
        <f t="shared" si="35"/>
        <v>193.84416235242188</v>
      </c>
      <c r="BM23" s="383">
        <f t="shared" si="36"/>
        <v>37.632169614211286</v>
      </c>
      <c r="BN23" s="383">
        <f t="shared" si="37"/>
        <v>263.08434373941986</v>
      </c>
      <c r="BO23" s="383">
        <f t="shared" si="38"/>
        <v>0</v>
      </c>
      <c r="BP23" s="383">
        <f t="shared" si="39"/>
        <v>684.06836141214808</v>
      </c>
      <c r="BQ23" s="445"/>
      <c r="BR23" s="383">
        <f t="shared" si="40"/>
        <v>139.67972545195985</v>
      </c>
      <c r="BS23" s="383">
        <f t="shared" si="41"/>
        <v>37.32659243066751</v>
      </c>
      <c r="BT23" s="383">
        <f t="shared" si="42"/>
        <v>186.80263862650023</v>
      </c>
      <c r="BU23" s="383">
        <f t="shared" si="43"/>
        <v>35.281344426665925</v>
      </c>
      <c r="BV23" s="383">
        <f t="shared" si="44"/>
        <v>256.36165207396385</v>
      </c>
      <c r="BW23" s="383">
        <f t="shared" si="94"/>
        <v>0</v>
      </c>
      <c r="BX23" s="385">
        <f t="shared" si="45"/>
        <v>655.45195300975729</v>
      </c>
      <c r="BY23" s="385"/>
      <c r="CA23" s="383">
        <f t="shared" si="46"/>
        <v>151.41051485757137</v>
      </c>
      <c r="CB23" s="383">
        <f t="shared" si="47"/>
        <v>40.270233119274685</v>
      </c>
      <c r="CC23" s="383">
        <f t="shared" si="48"/>
        <v>194.97494297816584</v>
      </c>
      <c r="CD23" s="383">
        <f t="shared" si="49"/>
        <v>38.063693262713713</v>
      </c>
      <c r="CE23" s="383">
        <f t="shared" si="50"/>
        <v>264.65124035824289</v>
      </c>
      <c r="CF23" s="383">
        <f t="shared" si="51"/>
        <v>0</v>
      </c>
      <c r="CG23" s="383">
        <f t="shared" si="52"/>
        <v>689.37062457596858</v>
      </c>
      <c r="CH23" s="383"/>
      <c r="CI23" s="398"/>
      <c r="CJ23" s="383">
        <f t="shared" si="53"/>
        <v>141.28141638200086</v>
      </c>
      <c r="CK23" s="383">
        <f t="shared" si="54"/>
        <v>37.754612061663273</v>
      </c>
      <c r="CL23" s="383">
        <f t="shared" si="55"/>
        <v>187.91786491244235</v>
      </c>
      <c r="CM23" s="383">
        <f t="shared" si="56"/>
        <v>35.685911440131882</v>
      </c>
      <c r="CN23" s="383">
        <f t="shared" si="57"/>
        <v>257.91839459742084</v>
      </c>
      <c r="CO23" s="383">
        <f t="shared" si="58"/>
        <v>0</v>
      </c>
      <c r="CP23" s="383">
        <f t="shared" si="95"/>
        <v>660.55819939365915</v>
      </c>
      <c r="CR23" s="377">
        <f t="shared" si="59"/>
        <v>8.1565616584738682E-2</v>
      </c>
      <c r="CS23" s="377">
        <f t="shared" si="60"/>
        <v>3.7081869755720203E-3</v>
      </c>
      <c r="CT23" s="377">
        <f t="shared" si="61"/>
        <v>6.8634393437319474E-2</v>
      </c>
      <c r="CU23" s="377">
        <f t="shared" si="62"/>
        <v>8.7162375648159121E-4</v>
      </c>
      <c r="CV23" s="377">
        <f t="shared" si="63"/>
        <v>1.7162908227599461E-2</v>
      </c>
      <c r="CW23" s="377">
        <v>0</v>
      </c>
      <c r="CX23" s="377">
        <f t="shared" si="4"/>
        <v>0.17194272898171123</v>
      </c>
      <c r="CY23" s="377"/>
      <c r="CZ23" s="454"/>
      <c r="DA23" s="377">
        <f t="shared" si="64"/>
        <v>7.6109019575048689E-2</v>
      </c>
      <c r="DB23" s="377">
        <f t="shared" si="65"/>
        <v>3.4765420974884995E-3</v>
      </c>
      <c r="DC23" s="377">
        <f t="shared" si="66"/>
        <v>6.6141201463219834E-2</v>
      </c>
      <c r="DD23" s="377">
        <f t="shared" si="67"/>
        <v>8.1717472784982072E-4</v>
      </c>
      <c r="DE23" s="377">
        <f t="shared" si="68"/>
        <v>1.6724338077598627E-2</v>
      </c>
      <c r="DF23" s="377">
        <v>0</v>
      </c>
      <c r="DG23" s="377">
        <f t="shared" si="69"/>
        <v>0.16326827594120547</v>
      </c>
      <c r="DJ23" s="377">
        <f t="shared" si="70"/>
        <v>8.2500919885659829E-2</v>
      </c>
      <c r="DK23" s="377">
        <f t="shared" si="71"/>
        <v>3.750708318067876E-3</v>
      </c>
      <c r="DL23" s="377">
        <f t="shared" si="72"/>
        <v>6.9034768880235881E-2</v>
      </c>
      <c r="DM23" s="377">
        <f t="shared" si="73"/>
        <v>8.8161856324862605E-4</v>
      </c>
      <c r="DN23" s="377">
        <f t="shared" si="74"/>
        <v>1.7265128308387057E-2</v>
      </c>
      <c r="DO23" s="377">
        <f t="shared" si="75"/>
        <v>0</v>
      </c>
      <c r="DP23" s="377">
        <f t="shared" si="96"/>
        <v>0.17343314395559925</v>
      </c>
      <c r="DQ23" s="454"/>
      <c r="DS23" s="377">
        <f t="shared" si="76"/>
        <v>7.6981752721918997E-2</v>
      </c>
      <c r="DT23" s="377">
        <f t="shared" si="77"/>
        <v>3.5164071955006535E-3</v>
      </c>
      <c r="DU23" s="377">
        <f t="shared" si="78"/>
        <v>6.6536069581774951E-2</v>
      </c>
      <c r="DV23" s="377">
        <f t="shared" si="79"/>
        <v>8.2654517403032935E-4</v>
      </c>
      <c r="DW23" s="377">
        <f t="shared" si="80"/>
        <v>1.6825895732776149E-2</v>
      </c>
      <c r="DX23" s="377">
        <f t="shared" si="81"/>
        <v>0</v>
      </c>
      <c r="DY23" s="402">
        <f t="shared" si="97"/>
        <v>0.16468667040600107</v>
      </c>
    </row>
    <row r="24" spans="2:129" x14ac:dyDescent="0.15">
      <c r="B24" s="461" t="s">
        <v>588</v>
      </c>
      <c r="C24" s="239">
        <v>15</v>
      </c>
      <c r="D24" s="239">
        <v>77</v>
      </c>
      <c r="E24" s="457">
        <f t="shared" si="5"/>
        <v>4.2999999999999997E-2</v>
      </c>
      <c r="F24" s="378">
        <v>1.12E-2</v>
      </c>
      <c r="G24" s="377">
        <f t="shared" si="6"/>
        <v>8.9080000000000006E-2</v>
      </c>
      <c r="H24" s="377">
        <f t="shared" si="7"/>
        <v>0.20043000000000002</v>
      </c>
      <c r="I24" s="377">
        <f t="shared" si="8"/>
        <v>0.13362000000000002</v>
      </c>
      <c r="J24" s="377">
        <f t="shared" si="9"/>
        <v>0.21067420000000003</v>
      </c>
      <c r="K24" s="377">
        <f t="shared" si="10"/>
        <v>0.1033328</v>
      </c>
      <c r="L24" s="377"/>
      <c r="N24" s="377">
        <f t="shared" si="82"/>
        <v>0.18215632010948857</v>
      </c>
      <c r="O24" s="377">
        <f t="shared" si="83"/>
        <v>9.0425884502983514E-3</v>
      </c>
      <c r="P24" s="377">
        <f t="shared" si="84"/>
        <v>0.16829489676180406</v>
      </c>
      <c r="Q24" s="377">
        <f t="shared" si="85"/>
        <v>2.3552788521707334E-3</v>
      </c>
      <c r="R24" s="377">
        <f t="shared" si="86"/>
        <v>5.0290064738287642E-2</v>
      </c>
      <c r="S24" s="377">
        <f t="shared" si="87"/>
        <v>0.58786085108795072</v>
      </c>
      <c r="T24" s="377">
        <f t="shared" si="0"/>
        <v>1</v>
      </c>
      <c r="U24" s="377">
        <f t="shared" si="1"/>
        <v>0.41213914891204934</v>
      </c>
      <c r="V24" s="390"/>
      <c r="W24" s="377"/>
      <c r="X24" s="377">
        <f t="shared" si="11"/>
        <v>0.1691066413368448</v>
      </c>
      <c r="Y24" s="377">
        <f t="shared" si="12"/>
        <v>8.4376551075031787E-3</v>
      </c>
      <c r="Z24" s="377">
        <f t="shared" si="13"/>
        <v>0.16066620593275047</v>
      </c>
      <c r="AA24" s="377">
        <f t="shared" si="14"/>
        <v>2.197714818698503E-3</v>
      </c>
      <c r="AB24" s="377">
        <f t="shared" si="15"/>
        <v>4.8621299319599756E-2</v>
      </c>
      <c r="AC24" s="377">
        <f t="shared" si="16"/>
        <v>0.61097048348460337</v>
      </c>
      <c r="AD24" s="377">
        <f t="shared" si="17"/>
        <v>1</v>
      </c>
      <c r="AE24" s="377">
        <f t="shared" si="18"/>
        <v>0.38902951651539674</v>
      </c>
      <c r="AF24" s="377"/>
      <c r="AG24" s="390"/>
      <c r="AH24" s="377">
        <f t="shared" si="19"/>
        <v>0.62324547405000008</v>
      </c>
      <c r="AI24" s="377">
        <f t="shared" si="20"/>
        <v>0.57661309297500007</v>
      </c>
      <c r="AJ24" s="377">
        <f t="shared" si="21"/>
        <v>0.60770134702500012</v>
      </c>
      <c r="AK24" s="377">
        <f t="shared" si="22"/>
        <v>0.52035815707499999</v>
      </c>
      <c r="AL24" s="377">
        <f t="shared" si="23"/>
        <v>0.52035815707499999</v>
      </c>
      <c r="AM24" s="377">
        <v>0</v>
      </c>
      <c r="AN24" s="382"/>
      <c r="AP24" s="377">
        <f t="shared" si="24"/>
        <v>0.18424508513837862</v>
      </c>
      <c r="AQ24" s="377">
        <f t="shared" si="25"/>
        <v>9.1462787450642714E-3</v>
      </c>
      <c r="AR24" s="377">
        <f t="shared" si="26"/>
        <v>0.16932442518206278</v>
      </c>
      <c r="AS24" s="377">
        <f t="shared" si="27"/>
        <v>2.3822865568539501E-3</v>
      </c>
      <c r="AT24" s="377">
        <f t="shared" si="28"/>
        <v>5.0601626811951544E-2</v>
      </c>
      <c r="AU24" s="377">
        <f t="shared" si="29"/>
        <v>0.58430029756568913</v>
      </c>
      <c r="AV24" s="377">
        <f t="shared" si="2"/>
        <v>1.0000000000000004</v>
      </c>
      <c r="AW24" s="377">
        <f t="shared" si="3"/>
        <v>0.4156997024343112</v>
      </c>
      <c r="AX24" s="389"/>
      <c r="AY24" s="377">
        <f t="shared" si="88"/>
        <v>0.17104576723906517</v>
      </c>
      <c r="AZ24" s="377">
        <f t="shared" si="89"/>
        <v>8.5344087030072759E-3</v>
      </c>
      <c r="BA24" s="377">
        <f t="shared" si="90"/>
        <v>0.16166840538374469</v>
      </c>
      <c r="BB24" s="377">
        <f t="shared" si="91"/>
        <v>2.2229157552018956E-3</v>
      </c>
      <c r="BC24" s="377">
        <f t="shared" si="92"/>
        <v>4.8927423041593525E-2</v>
      </c>
      <c r="BD24" s="377">
        <f t="shared" si="93"/>
        <v>0.60760107987738776</v>
      </c>
      <c r="BE24" s="377">
        <f t="shared" si="31"/>
        <v>1.0000000000000004</v>
      </c>
      <c r="BF24" s="377">
        <f t="shared" si="32"/>
        <v>0.39239892012261257</v>
      </c>
      <c r="BG24" s="452"/>
      <c r="BH24" s="453"/>
      <c r="BJ24" s="383">
        <f t="shared" si="33"/>
        <v>125.2806370857443</v>
      </c>
      <c r="BK24" s="383">
        <f t="shared" si="34"/>
        <v>33.661343647743308</v>
      </c>
      <c r="BL24" s="383">
        <f t="shared" si="35"/>
        <v>173.68223661891648</v>
      </c>
      <c r="BM24" s="383">
        <f t="shared" si="36"/>
        <v>31.816926801082676</v>
      </c>
      <c r="BN24" s="383">
        <f t="shared" si="37"/>
        <v>241.19706319662603</v>
      </c>
      <c r="BO24" s="383">
        <f t="shared" si="38"/>
        <v>0</v>
      </c>
      <c r="BP24" s="383">
        <f t="shared" si="39"/>
        <v>605.63820735011279</v>
      </c>
      <c r="BQ24" s="445"/>
      <c r="BR24" s="383">
        <f t="shared" si="40"/>
        <v>116.30553224492158</v>
      </c>
      <c r="BS24" s="383">
        <f t="shared" si="41"/>
        <v>31.409458665060665</v>
      </c>
      <c r="BT24" s="383">
        <f t="shared" si="42"/>
        <v>165.80934141437837</v>
      </c>
      <c r="BU24" s="383">
        <f t="shared" si="43"/>
        <v>29.688430077712152</v>
      </c>
      <c r="BV24" s="383">
        <f t="shared" si="44"/>
        <v>233.19346804823547</v>
      </c>
      <c r="BW24" s="383">
        <f t="shared" si="94"/>
        <v>0</v>
      </c>
      <c r="BX24" s="385">
        <f t="shared" si="45"/>
        <v>576.40623045030827</v>
      </c>
      <c r="BY24" s="385"/>
      <c r="CA24" s="383">
        <f t="shared" si="46"/>
        <v>126.71721536853175</v>
      </c>
      <c r="CB24" s="383">
        <f t="shared" si="47"/>
        <v>34.047334303431761</v>
      </c>
      <c r="CC24" s="383">
        <f t="shared" si="48"/>
        <v>174.74472159103274</v>
      </c>
      <c r="CD24" s="383">
        <f t="shared" si="49"/>
        <v>32.181767746425173</v>
      </c>
      <c r="CE24" s="383">
        <f t="shared" si="50"/>
        <v>242.6913515329457</v>
      </c>
      <c r="CF24" s="383">
        <f t="shared" si="51"/>
        <v>0</v>
      </c>
      <c r="CG24" s="383">
        <f t="shared" si="52"/>
        <v>610.38239054236715</v>
      </c>
      <c r="CH24" s="383"/>
      <c r="CI24" s="398"/>
      <c r="CJ24" s="383">
        <f t="shared" si="53"/>
        <v>117.63919405953013</v>
      </c>
      <c r="CK24" s="383">
        <f t="shared" si="54"/>
        <v>31.769627221367209</v>
      </c>
      <c r="CL24" s="383">
        <f t="shared" si="55"/>
        <v>166.84362258116437</v>
      </c>
      <c r="CM24" s="383">
        <f t="shared" si="56"/>
        <v>30.028863802282892</v>
      </c>
      <c r="CN24" s="383">
        <f t="shared" si="57"/>
        <v>234.6616734105464</v>
      </c>
      <c r="CO24" s="383">
        <f t="shared" si="58"/>
        <v>0</v>
      </c>
      <c r="CP24" s="383">
        <f t="shared" si="95"/>
        <v>580.94298107489101</v>
      </c>
      <c r="CR24" s="377">
        <f t="shared" si="59"/>
        <v>6.7763859080542971E-2</v>
      </c>
      <c r="CS24" s="377">
        <f t="shared" si="60"/>
        <v>3.1122323895290812E-3</v>
      </c>
      <c r="CT24" s="377">
        <f t="shared" si="61"/>
        <v>6.1045815404106307E-2</v>
      </c>
      <c r="CU24" s="377">
        <f t="shared" si="62"/>
        <v>7.3154231549679585E-4</v>
      </c>
      <c r="CV24" s="377">
        <f t="shared" si="63"/>
        <v>1.5619938323321668E-2</v>
      </c>
      <c r="CW24" s="377">
        <v>0</v>
      </c>
      <c r="CX24" s="377">
        <f t="shared" si="4"/>
        <v>0.14827338751299685</v>
      </c>
      <c r="CY24" s="377"/>
      <c r="CZ24" s="454"/>
      <c r="DA24" s="377">
        <f t="shared" si="64"/>
        <v>6.2909256216012871E-2</v>
      </c>
      <c r="DB24" s="377">
        <f t="shared" si="65"/>
        <v>2.9040294890762667E-3</v>
      </c>
      <c r="DC24" s="377">
        <f t="shared" si="66"/>
        <v>5.8278650973775825E-2</v>
      </c>
      <c r="DD24" s="377">
        <f t="shared" si="67"/>
        <v>6.826034147891124E-4</v>
      </c>
      <c r="DE24" s="377">
        <f t="shared" si="68"/>
        <v>1.5101624953640282E-2</v>
      </c>
      <c r="DF24" s="377">
        <v>0</v>
      </c>
      <c r="DG24" s="377">
        <f t="shared" si="69"/>
        <v>0.13987616504729436</v>
      </c>
      <c r="DJ24" s="377">
        <f t="shared" si="70"/>
        <v>6.8540899256722396E-2</v>
      </c>
      <c r="DK24" s="377">
        <f t="shared" si="71"/>
        <v>3.1479199911073293E-3</v>
      </c>
      <c r="DL24" s="377">
        <f t="shared" si="72"/>
        <v>6.141925751735914E-2</v>
      </c>
      <c r="DM24" s="377">
        <f t="shared" si="73"/>
        <v>7.3993082490917588E-4</v>
      </c>
      <c r="DN24" s="377">
        <f t="shared" si="74"/>
        <v>1.5716708538270532E-2</v>
      </c>
      <c r="DO24" s="377">
        <f t="shared" si="75"/>
        <v>0</v>
      </c>
      <c r="DP24" s="377">
        <f t="shared" si="96"/>
        <v>0.14956471612836858</v>
      </c>
      <c r="DQ24" s="454"/>
      <c r="DS24" s="377">
        <f t="shared" si="76"/>
        <v>6.3630629233970795E-2</v>
      </c>
      <c r="DT24" s="377">
        <f t="shared" si="77"/>
        <v>2.9373296525622337E-3</v>
      </c>
      <c r="DU24" s="377">
        <f t="shared" si="78"/>
        <v>5.8642180016311683E-2</v>
      </c>
      <c r="DV24" s="377">
        <f t="shared" si="79"/>
        <v>6.9043074760169573E-4</v>
      </c>
      <c r="DW24" s="377">
        <f t="shared" si="80"/>
        <v>1.5196706033406877E-2</v>
      </c>
      <c r="DX24" s="377">
        <f t="shared" si="81"/>
        <v>0</v>
      </c>
      <c r="DY24" s="402">
        <f t="shared" si="97"/>
        <v>0.14109727568385327</v>
      </c>
    </row>
    <row r="25" spans="2:129" x14ac:dyDescent="0.15">
      <c r="B25" s="461" t="s">
        <v>588</v>
      </c>
      <c r="C25" s="239">
        <v>16</v>
      </c>
      <c r="D25" s="239">
        <v>78</v>
      </c>
      <c r="E25" s="457">
        <f t="shared" si="5"/>
        <v>4.2999999999999997E-2</v>
      </c>
      <c r="F25" s="378">
        <v>1.12E-2</v>
      </c>
      <c r="G25" s="377">
        <f t="shared" si="6"/>
        <v>0.100439</v>
      </c>
      <c r="H25" s="377">
        <f t="shared" si="7"/>
        <v>0.22598774999999999</v>
      </c>
      <c r="I25" s="377">
        <f t="shared" si="8"/>
        <v>0.15065849999999997</v>
      </c>
      <c r="J25" s="377">
        <f t="shared" si="9"/>
        <v>0.23753823500000001</v>
      </c>
      <c r="K25" s="377">
        <f t="shared" si="10"/>
        <v>0.11650923999999999</v>
      </c>
      <c r="L25" s="377"/>
      <c r="N25" s="377">
        <f t="shared" si="82"/>
        <v>0.15605696256420104</v>
      </c>
      <c r="O25" s="377">
        <f t="shared" si="83"/>
        <v>7.8327217647080078E-3</v>
      </c>
      <c r="P25" s="377">
        <f t="shared" si="84"/>
        <v>0.15303751510369687</v>
      </c>
      <c r="Q25" s="377">
        <f t="shared" si="85"/>
        <v>2.0401507852262721E-3</v>
      </c>
      <c r="R25" s="377">
        <f t="shared" si="86"/>
        <v>4.6952533900911864E-2</v>
      </c>
      <c r="S25" s="377">
        <f t="shared" si="87"/>
        <v>0.63408011588125601</v>
      </c>
      <c r="T25" s="377">
        <f t="shared" si="0"/>
        <v>1</v>
      </c>
      <c r="U25" s="377">
        <f t="shared" si="1"/>
        <v>0.3659198841187441</v>
      </c>
      <c r="V25" s="390"/>
      <c r="W25" s="377"/>
      <c r="X25" s="377">
        <f t="shared" si="11"/>
        <v>0.14399071624721829</v>
      </c>
      <c r="Y25" s="377">
        <f t="shared" si="12"/>
        <v>7.2715855774843265E-3</v>
      </c>
      <c r="Z25" s="377">
        <f t="shared" si="13"/>
        <v>0.14454062516743452</v>
      </c>
      <c r="AA25" s="377">
        <f t="shared" si="14"/>
        <v>1.8939943829726618E-3</v>
      </c>
      <c r="AB25" s="377">
        <f t="shared" si="15"/>
        <v>4.4995100364762008E-2</v>
      </c>
      <c r="AC25" s="377">
        <f t="shared" si="16"/>
        <v>0.65730797826012832</v>
      </c>
      <c r="AD25" s="377">
        <f t="shared" si="17"/>
        <v>1</v>
      </c>
      <c r="AE25" s="377">
        <f t="shared" si="18"/>
        <v>0.34269202173987184</v>
      </c>
      <c r="AF25" s="377"/>
      <c r="AG25" s="390"/>
      <c r="AH25" s="377">
        <f t="shared" si="19"/>
        <v>0.61859687625000004</v>
      </c>
      <c r="AI25" s="377">
        <f t="shared" si="20"/>
        <v>0.57231231187500009</v>
      </c>
      <c r="AJ25" s="377">
        <f t="shared" si="21"/>
        <v>0.60316868812500002</v>
      </c>
      <c r="AK25" s="377">
        <f t="shared" si="22"/>
        <v>0.51647696437500001</v>
      </c>
      <c r="AL25" s="377">
        <f t="shared" si="23"/>
        <v>0.51647696437500001</v>
      </c>
      <c r="AM25" s="377">
        <v>0</v>
      </c>
      <c r="AN25" s="382"/>
      <c r="AP25" s="377">
        <f t="shared" si="24"/>
        <v>0.15784644933975173</v>
      </c>
      <c r="AQ25" s="377">
        <f t="shared" si="25"/>
        <v>7.9225386609502804E-3</v>
      </c>
      <c r="AR25" s="377">
        <f t="shared" si="26"/>
        <v>0.1540123855854266</v>
      </c>
      <c r="AS25" s="377">
        <f t="shared" si="27"/>
        <v>2.0635449535498407E-3</v>
      </c>
      <c r="AT25" s="377">
        <f t="shared" si="28"/>
        <v>4.7253219271235505E-2</v>
      </c>
      <c r="AU25" s="377">
        <f t="shared" si="29"/>
        <v>0.63090186218908639</v>
      </c>
      <c r="AV25" s="377">
        <f t="shared" si="2"/>
        <v>1.0000000000000002</v>
      </c>
      <c r="AW25" s="377">
        <f t="shared" si="3"/>
        <v>0.36909813781091388</v>
      </c>
      <c r="AX25" s="389"/>
      <c r="AY25" s="377">
        <f t="shared" si="88"/>
        <v>0.14564184080002679</v>
      </c>
      <c r="AZ25" s="377">
        <f t="shared" si="89"/>
        <v>7.3549679912798017E-3</v>
      </c>
      <c r="BA25" s="377">
        <f t="shared" si="90"/>
        <v>0.14547681907590265</v>
      </c>
      <c r="BB25" s="377">
        <f t="shared" si="91"/>
        <v>1.91571259307753E-3</v>
      </c>
      <c r="BC25" s="377">
        <f t="shared" si="92"/>
        <v>4.528718800253323E-2</v>
      </c>
      <c r="BD25" s="377">
        <f t="shared" si="93"/>
        <v>0.65432347153718029</v>
      </c>
      <c r="BE25" s="377">
        <f t="shared" si="31"/>
        <v>1.0000000000000002</v>
      </c>
      <c r="BF25" s="377">
        <f t="shared" si="32"/>
        <v>0.34567652846281999</v>
      </c>
      <c r="BG25" s="452"/>
      <c r="BH25" s="453"/>
      <c r="BJ25" s="383">
        <f t="shared" si="33"/>
        <v>103.70089604260761</v>
      </c>
      <c r="BK25" s="383">
        <f t="shared" si="34"/>
        <v>28.17156877524447</v>
      </c>
      <c r="BL25" s="383">
        <f t="shared" si="35"/>
        <v>152.59560020274424</v>
      </c>
      <c r="BM25" s="383">
        <f t="shared" si="36"/>
        <v>26.62795493173104</v>
      </c>
      <c r="BN25" s="383">
        <f t="shared" si="37"/>
        <v>217.57475642497093</v>
      </c>
      <c r="BO25" s="383">
        <f t="shared" si="38"/>
        <v>0</v>
      </c>
      <c r="BP25" s="383">
        <f t="shared" si="39"/>
        <v>528.67077637729835</v>
      </c>
      <c r="BQ25" s="445"/>
      <c r="BR25" s="383">
        <f t="shared" si="40"/>
        <v>95.682794611041203</v>
      </c>
      <c r="BS25" s="383">
        <f t="shared" si="41"/>
        <v>26.153357588185958</v>
      </c>
      <c r="BT25" s="383">
        <f t="shared" si="42"/>
        <v>144.12324609530819</v>
      </c>
      <c r="BU25" s="383">
        <f t="shared" si="43"/>
        <v>24.720328240421829</v>
      </c>
      <c r="BV25" s="383">
        <f t="shared" si="44"/>
        <v>208.50414639688037</v>
      </c>
      <c r="BW25" s="383">
        <f t="shared" si="94"/>
        <v>0</v>
      </c>
      <c r="BX25" s="385">
        <f t="shared" si="45"/>
        <v>499.18387293183753</v>
      </c>
      <c r="BY25" s="385"/>
      <c r="CA25" s="383">
        <f t="shared" si="46"/>
        <v>104.89002198118699</v>
      </c>
      <c r="CB25" s="383">
        <f t="shared" si="47"/>
        <v>28.494608830244115</v>
      </c>
      <c r="CC25" s="383">
        <f t="shared" si="48"/>
        <v>153.56765562444059</v>
      </c>
      <c r="CD25" s="383">
        <f t="shared" si="49"/>
        <v>26.933294548928124</v>
      </c>
      <c r="CE25" s="383">
        <f t="shared" si="50"/>
        <v>218.96811138951415</v>
      </c>
      <c r="CF25" s="383">
        <f t="shared" si="51"/>
        <v>0</v>
      </c>
      <c r="CG25" s="383">
        <f t="shared" si="52"/>
        <v>532.85369237431394</v>
      </c>
      <c r="CH25" s="383"/>
      <c r="CI25" s="398"/>
      <c r="CJ25" s="383">
        <f t="shared" si="53"/>
        <v>96.779977926612602</v>
      </c>
      <c r="CK25" s="383">
        <f t="shared" si="54"/>
        <v>26.453255053645425</v>
      </c>
      <c r="CL25" s="383">
        <f t="shared" si="55"/>
        <v>145.05673662716927</v>
      </c>
      <c r="CM25" s="383">
        <f t="shared" si="56"/>
        <v>25.00379332744291</v>
      </c>
      <c r="CN25" s="383">
        <f t="shared" si="57"/>
        <v>209.85766007043281</v>
      </c>
      <c r="CO25" s="383">
        <f t="shared" si="58"/>
        <v>0</v>
      </c>
      <c r="CP25" s="383">
        <f t="shared" si="95"/>
        <v>503.151423005303</v>
      </c>
      <c r="CR25" s="377">
        <f t="shared" si="59"/>
        <v>5.5673083486200821E-2</v>
      </c>
      <c r="CS25" s="377">
        <f t="shared" si="60"/>
        <v>2.5852359814137133E-3</v>
      </c>
      <c r="CT25" s="377">
        <f t="shared" si="61"/>
        <v>5.3234244739442778E-2</v>
      </c>
      <c r="CU25" s="377">
        <f t="shared" si="62"/>
        <v>6.0766976216553763E-4</v>
      </c>
      <c r="CV25" s="377">
        <f t="shared" si="63"/>
        <v>1.3985061945052276E-2</v>
      </c>
      <c r="CW25" s="377">
        <v>0</v>
      </c>
      <c r="CX25" s="377">
        <f t="shared" si="4"/>
        <v>0.12608529591427511</v>
      </c>
      <c r="CY25" s="377"/>
      <c r="CZ25" s="454"/>
      <c r="DA25" s="377">
        <f t="shared" si="64"/>
        <v>5.1368468507589513E-2</v>
      </c>
      <c r="DB25" s="377">
        <f t="shared" si="65"/>
        <v>2.400029675705235E-3</v>
      </c>
      <c r="DC25" s="377">
        <f t="shared" si="66"/>
        <v>5.0278593518337897E-2</v>
      </c>
      <c r="DD25" s="377">
        <f t="shared" si="67"/>
        <v>5.6413630040399846E-4</v>
      </c>
      <c r="DE25" s="377">
        <f t="shared" si="68"/>
        <v>1.3402029955465728E-2</v>
      </c>
      <c r="DF25" s="377">
        <v>0</v>
      </c>
      <c r="DG25" s="377">
        <f t="shared" si="69"/>
        <v>0.11801325795750238</v>
      </c>
      <c r="DJ25" s="377">
        <f t="shared" si="70"/>
        <v>5.6311480165308937E-2</v>
      </c>
      <c r="DK25" s="377">
        <f t="shared" si="71"/>
        <v>2.614880577363826E-3</v>
      </c>
      <c r="DL25" s="377">
        <f t="shared" si="72"/>
        <v>5.3573354360887518E-2</v>
      </c>
      <c r="DM25" s="377">
        <f t="shared" si="73"/>
        <v>6.1463783962539397E-4</v>
      </c>
      <c r="DN25" s="377">
        <f t="shared" si="74"/>
        <v>1.4074622681834266E-2</v>
      </c>
      <c r="DO25" s="377">
        <f t="shared" si="75"/>
        <v>0</v>
      </c>
      <c r="DP25" s="377">
        <f t="shared" si="96"/>
        <v>0.12718897562501993</v>
      </c>
      <c r="DQ25" s="454"/>
      <c r="DS25" s="377">
        <f t="shared" si="76"/>
        <v>5.1957504674667331E-2</v>
      </c>
      <c r="DT25" s="377">
        <f t="shared" si="77"/>
        <v>2.4275505328014814E-3</v>
      </c>
      <c r="DU25" s="377">
        <f t="shared" si="78"/>
        <v>5.0604249457100355E-2</v>
      </c>
      <c r="DV25" s="377">
        <f t="shared" si="79"/>
        <v>5.7060518479463073E-4</v>
      </c>
      <c r="DW25" s="377">
        <f t="shared" si="80"/>
        <v>1.3489029811878911E-2</v>
      </c>
      <c r="DX25" s="377">
        <f t="shared" si="81"/>
        <v>0</v>
      </c>
      <c r="DY25" s="402">
        <f t="shared" si="97"/>
        <v>0.11904893966124271</v>
      </c>
    </row>
    <row r="26" spans="2:129" x14ac:dyDescent="0.15">
      <c r="B26" s="461" t="s">
        <v>588</v>
      </c>
      <c r="C26" s="239">
        <v>17</v>
      </c>
      <c r="D26" s="239">
        <v>79</v>
      </c>
      <c r="E26" s="457">
        <f t="shared" si="5"/>
        <v>4.2999999999999997E-2</v>
      </c>
      <c r="F26" s="378">
        <v>1.12E-2</v>
      </c>
      <c r="G26" s="377">
        <f t="shared" si="6"/>
        <v>0.1126545</v>
      </c>
      <c r="H26" s="377">
        <f t="shared" si="7"/>
        <v>0.25347262500000001</v>
      </c>
      <c r="I26" s="377">
        <f t="shared" si="8"/>
        <v>0.16898175000000001</v>
      </c>
      <c r="J26" s="377">
        <f t="shared" si="9"/>
        <v>0.26642789249999999</v>
      </c>
      <c r="K26" s="377">
        <f t="shared" si="10"/>
        <v>0.13067921999999998</v>
      </c>
      <c r="L26" s="377"/>
      <c r="N26" s="377">
        <f t="shared" si="82"/>
        <v>0.13192446993023554</v>
      </c>
      <c r="O26" s="377">
        <f t="shared" si="83"/>
        <v>6.7104493902606444E-3</v>
      </c>
      <c r="P26" s="377">
        <f t="shared" si="84"/>
        <v>0.13604373523117216</v>
      </c>
      <c r="Q26" s="377">
        <f t="shared" si="85"/>
        <v>1.7478379807190517E-3</v>
      </c>
      <c r="R26" s="377">
        <f t="shared" si="86"/>
        <v>4.3037666828612153E-2</v>
      </c>
      <c r="S26" s="377">
        <f t="shared" si="87"/>
        <v>0.68053584063900063</v>
      </c>
      <c r="T26" s="377">
        <f t="shared" si="0"/>
        <v>1.0000000000000002</v>
      </c>
      <c r="U26" s="377">
        <f t="shared" si="1"/>
        <v>0.31946415936099953</v>
      </c>
      <c r="V26" s="390"/>
      <c r="W26" s="377"/>
      <c r="X26" s="377">
        <f t="shared" si="11"/>
        <v>0.1209183741962483</v>
      </c>
      <c r="Y26" s="377">
        <f t="shared" si="12"/>
        <v>6.191600798630386E-3</v>
      </c>
      <c r="Z26" s="377">
        <f t="shared" si="13"/>
        <v>0.12705404808741291</v>
      </c>
      <c r="AA26" s="377">
        <f t="shared" si="14"/>
        <v>1.612696021968845E-3</v>
      </c>
      <c r="AB26" s="377">
        <f t="shared" si="15"/>
        <v>4.0866685058263005E-2</v>
      </c>
      <c r="AC26" s="377">
        <f t="shared" si="16"/>
        <v>0.70335659583747678</v>
      </c>
      <c r="AD26" s="377">
        <f t="shared" si="17"/>
        <v>1.0000000000000002</v>
      </c>
      <c r="AE26" s="377">
        <f t="shared" si="18"/>
        <v>0.29664340416252344</v>
      </c>
      <c r="AF26" s="377"/>
      <c r="AG26" s="390"/>
      <c r="AH26" s="377">
        <f t="shared" si="19"/>
        <v>0.61389236965000005</v>
      </c>
      <c r="AI26" s="377">
        <f t="shared" si="20"/>
        <v>0.56795980517500011</v>
      </c>
      <c r="AJ26" s="377">
        <f t="shared" si="21"/>
        <v>0.59858151482499999</v>
      </c>
      <c r="AK26" s="377">
        <f t="shared" si="22"/>
        <v>0.51254909247500002</v>
      </c>
      <c r="AL26" s="377">
        <f t="shared" si="23"/>
        <v>0.51254909247500002</v>
      </c>
      <c r="AM26" s="377">
        <v>0</v>
      </c>
      <c r="AN26" s="382"/>
      <c r="AP26" s="377">
        <f t="shared" si="24"/>
        <v>0.13343723226030185</v>
      </c>
      <c r="AQ26" s="377">
        <f t="shared" si="25"/>
        <v>6.7873973216093239E-3</v>
      </c>
      <c r="AR26" s="377">
        <f t="shared" si="26"/>
        <v>0.13694125256637874</v>
      </c>
      <c r="AS26" s="377">
        <f t="shared" si="27"/>
        <v>1.7678802326052193E-3</v>
      </c>
      <c r="AT26" s="377">
        <f t="shared" si="28"/>
        <v>4.3321156733830961E-2</v>
      </c>
      <c r="AU26" s="377">
        <f t="shared" si="29"/>
        <v>0.67774508088527419</v>
      </c>
      <c r="AV26" s="377">
        <f t="shared" si="2"/>
        <v>1.0000000000000002</v>
      </c>
      <c r="AW26" s="377">
        <f t="shared" si="3"/>
        <v>0.32225491911472609</v>
      </c>
      <c r="AX26" s="389"/>
      <c r="AY26" s="377">
        <f t="shared" si="88"/>
        <v>0.12230493092521358</v>
      </c>
      <c r="AZ26" s="377">
        <f t="shared" si="89"/>
        <v>6.2625991544011514E-3</v>
      </c>
      <c r="BA26" s="377">
        <f t="shared" si="90"/>
        <v>0.12790445526624092</v>
      </c>
      <c r="BB26" s="377">
        <f t="shared" si="91"/>
        <v>1.6311886169603001E-3</v>
      </c>
      <c r="BC26" s="377">
        <f t="shared" si="92"/>
        <v>4.1139003062113474E-2</v>
      </c>
      <c r="BD26" s="377">
        <f t="shared" si="93"/>
        <v>0.70075782297507083</v>
      </c>
      <c r="BE26" s="377">
        <f t="shared" si="31"/>
        <v>1.0000000000000002</v>
      </c>
      <c r="BF26" s="377">
        <f t="shared" si="32"/>
        <v>0.29924217702492945</v>
      </c>
      <c r="BG26" s="452"/>
      <c r="BH26" s="453"/>
      <c r="BJ26" s="383">
        <f t="shared" si="33"/>
        <v>84.700186646835562</v>
      </c>
      <c r="BK26" s="383">
        <f t="shared" si="34"/>
        <v>23.318982030074825</v>
      </c>
      <c r="BL26" s="383">
        <f t="shared" si="35"/>
        <v>131.06366375639823</v>
      </c>
      <c r="BM26" s="383">
        <f t="shared" si="36"/>
        <v>22.041257535374509</v>
      </c>
      <c r="BN26" s="383">
        <f t="shared" si="37"/>
        <v>192.68940711960366</v>
      </c>
      <c r="BO26" s="383">
        <f t="shared" si="38"/>
        <v>0</v>
      </c>
      <c r="BP26" s="383">
        <f t="shared" si="39"/>
        <v>453.81349708828679</v>
      </c>
      <c r="BQ26" s="445"/>
      <c r="BR26" s="383">
        <f t="shared" si="40"/>
        <v>77.633883000403344</v>
      </c>
      <c r="BS26" s="383">
        <f t="shared" si="41"/>
        <v>21.515969999000454</v>
      </c>
      <c r="BT26" s="383">
        <f t="shared" si="42"/>
        <v>122.40305670174196</v>
      </c>
      <c r="BU26" s="383">
        <f t="shared" si="43"/>
        <v>20.337038523368118</v>
      </c>
      <c r="BV26" s="383">
        <f t="shared" si="44"/>
        <v>182.96942876060172</v>
      </c>
      <c r="BW26" s="383">
        <f t="shared" si="94"/>
        <v>0</v>
      </c>
      <c r="BX26" s="385">
        <f t="shared" si="45"/>
        <v>424.8593769851156</v>
      </c>
      <c r="BY26" s="385"/>
      <c r="CA26" s="383">
        <f t="shared" si="46"/>
        <v>85.671433692790544</v>
      </c>
      <c r="CB26" s="383">
        <f t="shared" si="47"/>
        <v>23.586378045455785</v>
      </c>
      <c r="CC26" s="383">
        <f t="shared" si="48"/>
        <v>131.92832621246183</v>
      </c>
      <c r="CD26" s="383">
        <f t="shared" si="49"/>
        <v>22.294002034741737</v>
      </c>
      <c r="CE26" s="383">
        <f t="shared" si="50"/>
        <v>193.95865579840725</v>
      </c>
      <c r="CF26" s="383">
        <f t="shared" si="51"/>
        <v>0</v>
      </c>
      <c r="CG26" s="383">
        <f t="shared" si="52"/>
        <v>457.43879578385713</v>
      </c>
      <c r="CH26" s="383"/>
      <c r="CI26" s="398"/>
      <c r="CJ26" s="383">
        <f t="shared" si="53"/>
        <v>78.52410157624368</v>
      </c>
      <c r="CK26" s="383">
        <f t="shared" si="54"/>
        <v>21.762691088170168</v>
      </c>
      <c r="CL26" s="383">
        <f t="shared" si="55"/>
        <v>123.22233353468503</v>
      </c>
      <c r="CM26" s="383">
        <f t="shared" si="56"/>
        <v>20.570240944416526</v>
      </c>
      <c r="CN26" s="383">
        <f t="shared" si="57"/>
        <v>184.18865830013283</v>
      </c>
      <c r="CO26" s="383">
        <f t="shared" si="58"/>
        <v>0</v>
      </c>
      <c r="CP26" s="383">
        <f t="shared" si="95"/>
        <v>428.26802544364824</v>
      </c>
      <c r="CR26" s="377">
        <f t="shared" si="59"/>
        <v>4.5126499553151074E-2</v>
      </c>
      <c r="CS26" s="377">
        <f t="shared" si="60"/>
        <v>2.1236515568137143E-3</v>
      </c>
      <c r="CT26" s="377">
        <f t="shared" si="61"/>
        <v>4.5374923094960676E-2</v>
      </c>
      <c r="CU26" s="377">
        <f t="shared" si="62"/>
        <v>4.9917254971276412E-4</v>
      </c>
      <c r="CV26" s="377">
        <f t="shared" si="63"/>
        <v>1.2291311964561321E-2</v>
      </c>
      <c r="CW26" s="377">
        <v>0</v>
      </c>
      <c r="CX26" s="377">
        <f t="shared" si="4"/>
        <v>0.10541555871919955</v>
      </c>
      <c r="CY26" s="377"/>
      <c r="CZ26" s="454"/>
      <c r="DA26" s="377">
        <f t="shared" si="64"/>
        <v>4.1361719793305461E-2</v>
      </c>
      <c r="DB26" s="377">
        <f t="shared" si="65"/>
        <v>1.9594518802666561E-3</v>
      </c>
      <c r="DC26" s="377">
        <f t="shared" si="66"/>
        <v>4.2376575820073682E-2</v>
      </c>
      <c r="DD26" s="377">
        <f t="shared" si="67"/>
        <v>4.6057677775524809E-4</v>
      </c>
      <c r="DE26" s="377">
        <f t="shared" si="68"/>
        <v>1.1671291964058019E-2</v>
      </c>
      <c r="DF26" s="377">
        <v>0</v>
      </c>
      <c r="DG26" s="377">
        <f t="shared" si="69"/>
        <v>9.7829616235459077E-2</v>
      </c>
      <c r="DJ26" s="377">
        <f t="shared" si="70"/>
        <v>4.5643959798758751E-2</v>
      </c>
      <c r="DK26" s="377">
        <f t="shared" si="71"/>
        <v>2.1480032186322788E-3</v>
      </c>
      <c r="DL26" s="377">
        <f t="shared" si="72"/>
        <v>4.5674273741223001E-2</v>
      </c>
      <c r="DM26" s="377">
        <f t="shared" si="73"/>
        <v>5.048965024397142E-4</v>
      </c>
      <c r="DN26" s="377">
        <f t="shared" si="74"/>
        <v>1.2372275063181988E-2</v>
      </c>
      <c r="DO26" s="377">
        <f t="shared" si="75"/>
        <v>0</v>
      </c>
      <c r="DP26" s="377">
        <f t="shared" si="96"/>
        <v>0.10634340832423575</v>
      </c>
      <c r="DQ26" s="454"/>
      <c r="DS26" s="377">
        <f t="shared" si="76"/>
        <v>4.183600975363775E-2</v>
      </c>
      <c r="DT26" s="377">
        <f t="shared" si="77"/>
        <v>1.9819206837692403E-3</v>
      </c>
      <c r="DU26" s="377">
        <f t="shared" si="78"/>
        <v>4.2660213727200781E-2</v>
      </c>
      <c r="DV26" s="377">
        <f t="shared" si="79"/>
        <v>4.6585815731932677E-4</v>
      </c>
      <c r="DW26" s="377">
        <f t="shared" si="80"/>
        <v>1.1749064431422991E-2</v>
      </c>
      <c r="DX26" s="377">
        <f t="shared" si="81"/>
        <v>0</v>
      </c>
      <c r="DY26" s="402">
        <f t="shared" si="97"/>
        <v>9.86930667533501E-2</v>
      </c>
    </row>
    <row r="27" spans="2:129" x14ac:dyDescent="0.15">
      <c r="B27" s="461" t="s">
        <v>588</v>
      </c>
      <c r="C27" s="239">
        <v>18</v>
      </c>
      <c r="D27" s="239">
        <v>80</v>
      </c>
      <c r="E27" s="457">
        <f t="shared" si="5"/>
        <v>4.2999999999999997E-2</v>
      </c>
      <c r="F27" s="378">
        <v>1.12E-2</v>
      </c>
      <c r="G27" s="377">
        <f t="shared" si="6"/>
        <v>0.128025</v>
      </c>
      <c r="H27" s="377">
        <f t="shared" si="7"/>
        <v>0.28805625000000001</v>
      </c>
      <c r="I27" s="377">
        <f t="shared" si="8"/>
        <v>0.1920375</v>
      </c>
      <c r="J27" s="377">
        <f t="shared" si="9"/>
        <v>0.30277912499999998</v>
      </c>
      <c r="K27" s="377">
        <f t="shared" si="10"/>
        <v>0.14850899999999997</v>
      </c>
      <c r="L27" s="377"/>
      <c r="N27" s="377">
        <f t="shared" si="82"/>
        <v>0.10991227846226106</v>
      </c>
      <c r="O27" s="377">
        <f t="shared" si="83"/>
        <v>5.6727522070001276E-3</v>
      </c>
      <c r="P27" s="377">
        <f t="shared" si="84"/>
        <v>0.11806436094365366</v>
      </c>
      <c r="Q27" s="377">
        <f t="shared" si="85"/>
        <v>1.4775540632186381E-3</v>
      </c>
      <c r="R27" s="377">
        <f t="shared" si="86"/>
        <v>3.8695703287913864E-2</v>
      </c>
      <c r="S27" s="377">
        <f t="shared" si="87"/>
        <v>0.72617735103595282</v>
      </c>
      <c r="T27" s="377">
        <f t="shared" si="0"/>
        <v>1.0000000000000002</v>
      </c>
      <c r="U27" s="377">
        <f t="shared" si="1"/>
        <v>0.2738226489640474</v>
      </c>
      <c r="V27" s="390"/>
      <c r="W27" s="377"/>
      <c r="X27" s="377">
        <f t="shared" si="11"/>
        <v>9.9897895990868305E-2</v>
      </c>
      <c r="Y27" s="377">
        <f t="shared" si="12"/>
        <v>5.1994900904386767E-3</v>
      </c>
      <c r="Z27" s="377">
        <f t="shared" si="13"/>
        <v>0.10874730882583145</v>
      </c>
      <c r="AA27" s="377">
        <f t="shared" si="14"/>
        <v>1.3542857909979809E-3</v>
      </c>
      <c r="AB27" s="377">
        <f t="shared" si="15"/>
        <v>3.6337463956530015E-2</v>
      </c>
      <c r="AC27" s="377">
        <f t="shared" si="16"/>
        <v>0.74846355534533382</v>
      </c>
      <c r="AD27" s="377">
        <f t="shared" si="17"/>
        <v>1.0000000000000002</v>
      </c>
      <c r="AE27" s="377">
        <f t="shared" si="18"/>
        <v>0.2515364446546664</v>
      </c>
      <c r="AF27" s="377"/>
      <c r="AG27" s="390"/>
      <c r="AH27" s="377">
        <f t="shared" si="19"/>
        <v>0.60913195425</v>
      </c>
      <c r="AI27" s="377">
        <f t="shared" si="20"/>
        <v>0.56355557287500013</v>
      </c>
      <c r="AJ27" s="377">
        <f t="shared" si="21"/>
        <v>0.59393982712499993</v>
      </c>
      <c r="AK27" s="377">
        <f t="shared" si="22"/>
        <v>0.50857454137500002</v>
      </c>
      <c r="AL27" s="377">
        <f t="shared" si="23"/>
        <v>0.50857454137500002</v>
      </c>
      <c r="AM27" s="377">
        <v>0</v>
      </c>
      <c r="AN27" s="382"/>
      <c r="AP27" s="377">
        <f t="shared" si="24"/>
        <v>0.11117262959012532</v>
      </c>
      <c r="AQ27" s="377">
        <f t="shared" si="25"/>
        <v>5.7378009871929788E-3</v>
      </c>
      <c r="AR27" s="377">
        <f t="shared" si="26"/>
        <v>0.1188676579661031</v>
      </c>
      <c r="AS27" s="377">
        <f t="shared" si="27"/>
        <v>1.4944970013153808E-3</v>
      </c>
      <c r="AT27" s="377">
        <f t="shared" si="28"/>
        <v>3.8956849390395988E-2</v>
      </c>
      <c r="AU27" s="377">
        <f t="shared" si="29"/>
        <v>0.72377056506486748</v>
      </c>
      <c r="AV27" s="377">
        <f t="shared" si="2"/>
        <v>1.0000000000000002</v>
      </c>
      <c r="AW27" s="377">
        <f t="shared" si="3"/>
        <v>0.2762294349351328</v>
      </c>
      <c r="AX27" s="389"/>
      <c r="AY27" s="377">
        <f t="shared" si="88"/>
        <v>0.10104341337659503</v>
      </c>
      <c r="AZ27" s="377">
        <f t="shared" si="89"/>
        <v>5.2591120297841836E-3</v>
      </c>
      <c r="BA27" s="377">
        <f t="shared" si="90"/>
        <v>0.10949662980855827</v>
      </c>
      <c r="BB27" s="377">
        <f t="shared" si="91"/>
        <v>1.3698152263623923E-3</v>
      </c>
      <c r="BC27" s="377">
        <f t="shared" si="92"/>
        <v>3.6585125270807824E-2</v>
      </c>
      <c r="BD27" s="377">
        <f t="shared" si="93"/>
        <v>0.74624590428789261</v>
      </c>
      <c r="BE27" s="377">
        <f t="shared" si="31"/>
        <v>1.0000000000000004</v>
      </c>
      <c r="BF27" s="377">
        <f t="shared" si="32"/>
        <v>0.25375409571210772</v>
      </c>
      <c r="BG27" s="452"/>
      <c r="BH27" s="453"/>
      <c r="BJ27" s="383">
        <f t="shared" si="33"/>
        <v>68.181236090793391</v>
      </c>
      <c r="BK27" s="383">
        <f t="shared" si="34"/>
        <v>19.046336200894768</v>
      </c>
      <c r="BL27" s="383">
        <f t="shared" si="35"/>
        <v>109.89608661554175</v>
      </c>
      <c r="BM27" s="383">
        <f t="shared" si="36"/>
        <v>18.002724165566889</v>
      </c>
      <c r="BN27" s="383">
        <f t="shared" si="37"/>
        <v>167.3907733348791</v>
      </c>
      <c r="BO27" s="383">
        <f t="shared" si="38"/>
        <v>0</v>
      </c>
      <c r="BP27" s="383">
        <f t="shared" si="39"/>
        <v>382.51715640767588</v>
      </c>
      <c r="BQ27" s="445"/>
      <c r="BR27" s="383">
        <f t="shared" si="40"/>
        <v>61.969073217470971</v>
      </c>
      <c r="BS27" s="383">
        <f t="shared" si="41"/>
        <v>17.45735274907867</v>
      </c>
      <c r="BT27" s="383">
        <f t="shared" si="42"/>
        <v>101.22363407899375</v>
      </c>
      <c r="BU27" s="383">
        <f t="shared" si="43"/>
        <v>16.500806395925096</v>
      </c>
      <c r="BV27" s="383">
        <f t="shared" si="44"/>
        <v>157.18944678314369</v>
      </c>
      <c r="BW27" s="383">
        <f t="shared" si="94"/>
        <v>0</v>
      </c>
      <c r="BX27" s="385">
        <f t="shared" si="45"/>
        <v>354.3403132246122</v>
      </c>
      <c r="BY27" s="385"/>
      <c r="CA27" s="383">
        <f t="shared" si="46"/>
        <v>68.963062279900328</v>
      </c>
      <c r="CB27" s="383">
        <f t="shared" si="47"/>
        <v>19.264738290709708</v>
      </c>
      <c r="CC27" s="383">
        <f t="shared" si="48"/>
        <v>110.64380759121569</v>
      </c>
      <c r="CD27" s="383">
        <f t="shared" si="49"/>
        <v>18.209159279315276</v>
      </c>
      <c r="CE27" s="383">
        <f t="shared" si="50"/>
        <v>168.52044521918688</v>
      </c>
      <c r="CF27" s="383">
        <f t="shared" si="51"/>
        <v>0</v>
      </c>
      <c r="CG27" s="383">
        <f t="shared" si="52"/>
        <v>385.60121266032792</v>
      </c>
      <c r="CH27" s="383"/>
      <c r="CI27" s="398"/>
      <c r="CJ27" s="383">
        <f t="shared" si="53"/>
        <v>62.679665267922907</v>
      </c>
      <c r="CK27" s="383">
        <f t="shared" si="54"/>
        <v>17.657534153146099</v>
      </c>
      <c r="CL27" s="383">
        <f t="shared" si="55"/>
        <v>101.92111334337474</v>
      </c>
      <c r="CM27" s="383">
        <f t="shared" si="56"/>
        <v>16.690019195830025</v>
      </c>
      <c r="CN27" s="383">
        <f t="shared" si="57"/>
        <v>158.26078585698457</v>
      </c>
      <c r="CO27" s="383">
        <f t="shared" si="58"/>
        <v>0</v>
      </c>
      <c r="CP27" s="383">
        <f t="shared" si="95"/>
        <v>357.20911781725835</v>
      </c>
      <c r="CR27" s="377">
        <f t="shared" si="59"/>
        <v>3.6043860248250334E-2</v>
      </c>
      <c r="CS27" s="377">
        <f t="shared" si="60"/>
        <v>1.72109271349331E-3</v>
      </c>
      <c r="CT27" s="377">
        <f t="shared" si="61"/>
        <v>3.7751566091368337E-2</v>
      </c>
      <c r="CU27" s="377">
        <f t="shared" si="62"/>
        <v>4.0454952947908545E-4</v>
      </c>
      <c r="CV27" s="377">
        <f t="shared" si="63"/>
        <v>1.0594758559214516E-2</v>
      </c>
      <c r="CW27" s="377">
        <v>0</v>
      </c>
      <c r="CX27" s="377">
        <f t="shared" si="4"/>
        <v>8.6515827141805599E-2</v>
      </c>
      <c r="CY27" s="377"/>
      <c r="CZ27" s="454"/>
      <c r="DA27" s="377">
        <f t="shared" si="64"/>
        <v>3.2759814031381625E-2</v>
      </c>
      <c r="DB27" s="377">
        <f t="shared" si="65"/>
        <v>1.5775066814115255E-3</v>
      </c>
      <c r="DC27" s="377">
        <f t="shared" si="66"/>
        <v>3.4772400270358605E-2</v>
      </c>
      <c r="DD27" s="377">
        <f t="shared" si="67"/>
        <v>3.7079907474585138E-4</v>
      </c>
      <c r="DE27" s="377">
        <f t="shared" si="68"/>
        <v>9.9490802482414455E-3</v>
      </c>
      <c r="DF27" s="377">
        <v>0</v>
      </c>
      <c r="DG27" s="377">
        <f t="shared" si="69"/>
        <v>7.9429600306139048E-2</v>
      </c>
      <c r="DJ27" s="377">
        <f t="shared" si="70"/>
        <v>3.6457170940668214E-2</v>
      </c>
      <c r="DK27" s="377">
        <f t="shared" si="71"/>
        <v>1.7408282805560476E-3</v>
      </c>
      <c r="DL27" s="377">
        <f t="shared" si="72"/>
        <v>3.8008423625611645E-2</v>
      </c>
      <c r="DM27" s="377">
        <f t="shared" si="73"/>
        <v>4.0918845119819973E-4</v>
      </c>
      <c r="DN27" s="377">
        <f t="shared" si="74"/>
        <v>1.066625951847844E-2</v>
      </c>
      <c r="DO27" s="377">
        <f t="shared" si="75"/>
        <v>0</v>
      </c>
      <c r="DP27" s="377">
        <f t="shared" si="96"/>
        <v>8.7281870816512536E-2</v>
      </c>
      <c r="DQ27" s="454"/>
      <c r="DS27" s="377">
        <f t="shared" si="76"/>
        <v>3.3135466953336579E-2</v>
      </c>
      <c r="DT27" s="377">
        <f t="shared" si="77"/>
        <v>1.5955957643870281E-3</v>
      </c>
      <c r="DU27" s="377">
        <f t="shared" si="78"/>
        <v>3.5011998743403001E-2</v>
      </c>
      <c r="DV27" s="377">
        <f t="shared" si="79"/>
        <v>3.7505098398297473E-4</v>
      </c>
      <c r="DW27" s="377">
        <f t="shared" si="80"/>
        <v>1.0016889116055734E-2</v>
      </c>
      <c r="DX27" s="377">
        <f t="shared" si="81"/>
        <v>0</v>
      </c>
      <c r="DY27" s="402">
        <f t="shared" si="97"/>
        <v>8.013500156116532E-2</v>
      </c>
    </row>
    <row r="28" spans="2:129" x14ac:dyDescent="0.15">
      <c r="B28" s="461" t="s">
        <v>588</v>
      </c>
      <c r="C28" s="239">
        <v>19</v>
      </c>
      <c r="D28" s="239">
        <v>81</v>
      </c>
      <c r="E28" s="457">
        <f t="shared" si="5"/>
        <v>4.2999999999999997E-2</v>
      </c>
      <c r="F28" s="378">
        <v>1.12E-2</v>
      </c>
      <c r="G28" s="377">
        <f t="shared" si="6"/>
        <v>0.1443605</v>
      </c>
      <c r="H28" s="377">
        <f t="shared" si="7"/>
        <v>0.32481112499999998</v>
      </c>
      <c r="I28" s="377">
        <f t="shared" si="8"/>
        <v>0.21654074999999998</v>
      </c>
      <c r="J28" s="377">
        <f t="shared" si="9"/>
        <v>0.34141258250000006</v>
      </c>
      <c r="K28" s="377">
        <f t="shared" si="10"/>
        <v>0.16745817999999998</v>
      </c>
      <c r="L28" s="377"/>
      <c r="N28" s="377">
        <f t="shared" si="82"/>
        <v>8.9883513519475544E-2</v>
      </c>
      <c r="O28" s="377">
        <f t="shared" si="83"/>
        <v>4.7262279738772258E-3</v>
      </c>
      <c r="P28" s="377">
        <f t="shared" si="84"/>
        <v>9.9430256708009215E-2</v>
      </c>
      <c r="Q28" s="377">
        <f t="shared" si="85"/>
        <v>1.2310175187773239E-3</v>
      </c>
      <c r="R28" s="377">
        <f t="shared" si="86"/>
        <v>3.3979224625146166E-2</v>
      </c>
      <c r="S28" s="377">
        <f t="shared" si="87"/>
        <v>0.77074975965471471</v>
      </c>
      <c r="T28" s="377">
        <f t="shared" si="0"/>
        <v>1.0000000000000002</v>
      </c>
      <c r="U28" s="377">
        <f t="shared" si="1"/>
        <v>0.22925024034528546</v>
      </c>
      <c r="V28" s="390"/>
      <c r="W28" s="377"/>
      <c r="X28" s="377">
        <f t="shared" si="11"/>
        <v>8.0959855826383625E-2</v>
      </c>
      <c r="Y28" s="377">
        <f t="shared" si="12"/>
        <v>4.2956095276073369E-3</v>
      </c>
      <c r="Z28" s="377">
        <f t="shared" si="13"/>
        <v>9.0260453802224638E-2</v>
      </c>
      <c r="AA28" s="377">
        <f t="shared" si="14"/>
        <v>1.1188564350977249E-3</v>
      </c>
      <c r="AB28" s="377">
        <f t="shared" si="15"/>
        <v>3.1539541392671497E-2</v>
      </c>
      <c r="AC28" s="377">
        <f t="shared" si="16"/>
        <v>0.7918256830160153</v>
      </c>
      <c r="AD28" s="377">
        <f t="shared" si="17"/>
        <v>1</v>
      </c>
      <c r="AE28" s="377">
        <f t="shared" si="18"/>
        <v>0.20817431698398486</v>
      </c>
      <c r="AF28" s="377"/>
      <c r="AG28" s="390"/>
      <c r="AH28" s="377">
        <f t="shared" si="19"/>
        <v>0.60431563005</v>
      </c>
      <c r="AI28" s="377">
        <f t="shared" si="20"/>
        <v>0.55909961497500005</v>
      </c>
      <c r="AJ28" s="377">
        <f t="shared" si="21"/>
        <v>0.58924362502499994</v>
      </c>
      <c r="AK28" s="377">
        <f t="shared" si="22"/>
        <v>0.50455331107500001</v>
      </c>
      <c r="AL28" s="377">
        <f t="shared" si="23"/>
        <v>0.50455331107500001</v>
      </c>
      <c r="AM28" s="377">
        <v>0</v>
      </c>
      <c r="AN28" s="382"/>
      <c r="AP28" s="377">
        <f t="shared" si="24"/>
        <v>9.0914197163064731E-2</v>
      </c>
      <c r="AQ28" s="377">
        <f t="shared" si="25"/>
        <v>4.7804230723753885E-3</v>
      </c>
      <c r="AR28" s="377">
        <f t="shared" si="26"/>
        <v>0.10012560165101345</v>
      </c>
      <c r="AS28" s="377">
        <f t="shared" si="27"/>
        <v>1.2451334514094036E-3</v>
      </c>
      <c r="AT28" s="377">
        <f t="shared" si="28"/>
        <v>3.4213401151219659E-2</v>
      </c>
      <c r="AU28" s="377">
        <f t="shared" si="29"/>
        <v>0.76872124351091764</v>
      </c>
      <c r="AV28" s="377">
        <f t="shared" si="2"/>
        <v>1.0000000000000002</v>
      </c>
      <c r="AW28" s="377">
        <f t="shared" si="3"/>
        <v>0.23127875648908261</v>
      </c>
      <c r="AX28" s="389"/>
      <c r="AY28" s="377">
        <f t="shared" si="88"/>
        <v>8.1888212940166377E-2</v>
      </c>
      <c r="AZ28" s="377">
        <f t="shared" si="89"/>
        <v>4.3448667751935857E-3</v>
      </c>
      <c r="BA28" s="377">
        <f t="shared" si="90"/>
        <v>9.0898809451288198E-2</v>
      </c>
      <c r="BB28" s="377">
        <f t="shared" si="91"/>
        <v>1.1316862298178642E-3</v>
      </c>
      <c r="BC28" s="377">
        <f t="shared" si="92"/>
        <v>3.1758758819126376E-2</v>
      </c>
      <c r="BD28" s="377">
        <f t="shared" si="93"/>
        <v>0.78997766578440787</v>
      </c>
      <c r="BE28" s="377">
        <f t="shared" si="31"/>
        <v>1.0000000000000002</v>
      </c>
      <c r="BF28" s="377">
        <f t="shared" si="32"/>
        <v>0.21002233421559238</v>
      </c>
      <c r="BG28" s="452"/>
      <c r="BH28" s="453"/>
      <c r="BJ28" s="383">
        <f t="shared" si="33"/>
        <v>53.871410960530014</v>
      </c>
      <c r="BK28" s="383">
        <f t="shared" si="34"/>
        <v>15.331757775132923</v>
      </c>
      <c r="BL28" s="383">
        <f t="shared" si="35"/>
        <v>89.421431441976566</v>
      </c>
      <c r="BM28" s="383">
        <f t="shared" si="36"/>
        <v>14.491679832157788</v>
      </c>
      <c r="BN28" s="383">
        <f t="shared" si="37"/>
        <v>142.0175074699597</v>
      </c>
      <c r="BO28" s="383">
        <f t="shared" si="38"/>
        <v>0</v>
      </c>
      <c r="BP28" s="383">
        <f t="shared" si="39"/>
        <v>315.13378747975696</v>
      </c>
      <c r="BQ28" s="445"/>
      <c r="BR28" s="383">
        <f t="shared" si="40"/>
        <v>48.523043812515844</v>
      </c>
      <c r="BS28" s="383">
        <f t="shared" si="41"/>
        <v>13.934842994846125</v>
      </c>
      <c r="BT28" s="383">
        <f t="shared" si="42"/>
        <v>81.174677093508691</v>
      </c>
      <c r="BU28" s="383">
        <f t="shared" si="43"/>
        <v>13.171306653450312</v>
      </c>
      <c r="BV28" s="383">
        <f t="shared" si="44"/>
        <v>131.82075532171035</v>
      </c>
      <c r="BW28" s="383">
        <f t="shared" si="94"/>
        <v>0</v>
      </c>
      <c r="BX28" s="385">
        <f t="shared" si="45"/>
        <v>288.6246258760313</v>
      </c>
      <c r="BY28" s="385"/>
      <c r="CA28" s="383">
        <f t="shared" si="46"/>
        <v>54.489148073377287</v>
      </c>
      <c r="CB28" s="383">
        <f t="shared" si="47"/>
        <v>15.507565232446849</v>
      </c>
      <c r="CC28" s="383">
        <f t="shared" si="48"/>
        <v>90.046781734815255</v>
      </c>
      <c r="CD28" s="383">
        <f t="shared" si="49"/>
        <v>14.657854214825864</v>
      </c>
      <c r="CE28" s="383">
        <f t="shared" si="50"/>
        <v>142.99625748288142</v>
      </c>
      <c r="CF28" s="383">
        <f t="shared" si="51"/>
        <v>0</v>
      </c>
      <c r="CG28" s="383">
        <f t="shared" si="52"/>
        <v>317.69760673834668</v>
      </c>
      <c r="CH28" s="383"/>
      <c r="CI28" s="398"/>
      <c r="CJ28" s="383">
        <f t="shared" si="53"/>
        <v>49.079451830365372</v>
      </c>
      <c r="CK28" s="383">
        <f t="shared" si="54"/>
        <v>14.094632195205534</v>
      </c>
      <c r="CL28" s="383">
        <f t="shared" si="55"/>
        <v>81.748774735396182</v>
      </c>
      <c r="CM28" s="383">
        <f t="shared" si="56"/>
        <v>13.32234047267754</v>
      </c>
      <c r="CN28" s="383">
        <f t="shared" si="57"/>
        <v>132.7369831886659</v>
      </c>
      <c r="CO28" s="383">
        <f t="shared" si="58"/>
        <v>0</v>
      </c>
      <c r="CP28" s="383">
        <f t="shared" si="95"/>
        <v>290.98218242231053</v>
      </c>
      <c r="CR28" s="377">
        <f t="shared" si="59"/>
        <v>2.8253823086200853E-2</v>
      </c>
      <c r="CS28" s="377">
        <f t="shared" si="60"/>
        <v>1.3744761663465499E-3</v>
      </c>
      <c r="CT28" s="377">
        <f t="shared" si="61"/>
        <v>3.0475217036678017E-2</v>
      </c>
      <c r="CU28" s="377">
        <f t="shared" si="62"/>
        <v>3.2307596332048228E-4</v>
      </c>
      <c r="CV28" s="377">
        <f t="shared" si="63"/>
        <v>8.9177209594511978E-3</v>
      </c>
      <c r="CW28" s="377">
        <v>0</v>
      </c>
      <c r="CX28" s="377">
        <f t="shared" si="4"/>
        <v>6.9344313211997105E-2</v>
      </c>
      <c r="CY28" s="377"/>
      <c r="CZ28" s="454"/>
      <c r="DA28" s="377">
        <f t="shared" si="64"/>
        <v>2.5448776466747057E-2</v>
      </c>
      <c r="DB28" s="377">
        <f t="shared" si="65"/>
        <v>1.2492442066403E-3</v>
      </c>
      <c r="DC28" s="377">
        <f t="shared" si="66"/>
        <v>2.7664686892337802E-2</v>
      </c>
      <c r="DD28" s="377">
        <f t="shared" si="67"/>
        <v>2.9363970461244483E-4</v>
      </c>
      <c r="DE28" s="377">
        <f t="shared" si="68"/>
        <v>8.2774351808122034E-3</v>
      </c>
      <c r="DF28" s="377">
        <v>0</v>
      </c>
      <c r="DG28" s="377">
        <f t="shared" si="69"/>
        <v>6.2933782451149806E-2</v>
      </c>
      <c r="DJ28" s="377">
        <f t="shared" si="70"/>
        <v>2.8577806341678513E-2</v>
      </c>
      <c r="DK28" s="377">
        <f t="shared" si="71"/>
        <v>1.3902371223626898E-3</v>
      </c>
      <c r="DL28" s="377">
        <f t="shared" si="72"/>
        <v>3.0688339166249103E-2</v>
      </c>
      <c r="DM28" s="377">
        <f t="shared" si="73"/>
        <v>3.2678063727005025E-4</v>
      </c>
      <c r="DN28" s="377">
        <f t="shared" si="74"/>
        <v>8.9791797166128215E-3</v>
      </c>
      <c r="DO28" s="377">
        <f t="shared" si="75"/>
        <v>0</v>
      </c>
      <c r="DP28" s="377">
        <f t="shared" si="96"/>
        <v>6.996234298417317E-2</v>
      </c>
      <c r="DQ28" s="454"/>
      <c r="DS28" s="377">
        <f t="shared" si="76"/>
        <v>2.5740594583625084E-2</v>
      </c>
      <c r="DT28" s="377">
        <f t="shared" si="77"/>
        <v>1.263569142551419E-3</v>
      </c>
      <c r="DU28" s="377">
        <f t="shared" si="78"/>
        <v>2.7860341893098092E-2</v>
      </c>
      <c r="DV28" s="377">
        <f t="shared" si="79"/>
        <v>2.9700683645678279E-4</v>
      </c>
      <c r="DW28" s="377">
        <f t="shared" si="80"/>
        <v>8.3349679779887165E-3</v>
      </c>
      <c r="DX28" s="377">
        <f t="shared" si="81"/>
        <v>0</v>
      </c>
      <c r="DY28" s="402">
        <f t="shared" si="97"/>
        <v>6.3496480433720096E-2</v>
      </c>
    </row>
    <row r="29" spans="2:129" x14ac:dyDescent="0.15">
      <c r="B29" s="461" t="s">
        <v>588</v>
      </c>
      <c r="C29" s="239">
        <v>20</v>
      </c>
      <c r="D29" s="239">
        <v>82</v>
      </c>
      <c r="E29" s="457">
        <f t="shared" si="5"/>
        <v>4.2999999999999997E-2</v>
      </c>
      <c r="F29" s="378">
        <v>1.12E-2</v>
      </c>
      <c r="G29" s="377">
        <f t="shared" si="6"/>
        <v>0.1627255</v>
      </c>
      <c r="H29" s="377">
        <f t="shared" si="7"/>
        <v>0.36613237500000001</v>
      </c>
      <c r="I29" s="377">
        <f t="shared" si="8"/>
        <v>0.24408824999999998</v>
      </c>
      <c r="J29" s="377">
        <f t="shared" si="9"/>
        <v>0.38484580750000008</v>
      </c>
      <c r="K29" s="377">
        <f t="shared" si="10"/>
        <v>0.18876157999999998</v>
      </c>
      <c r="L29" s="377"/>
      <c r="N29" s="377">
        <f t="shared" si="82"/>
        <v>7.2036198133291721E-2</v>
      </c>
      <c r="O29" s="377">
        <f t="shared" si="83"/>
        <v>3.864991081337448E-3</v>
      </c>
      <c r="P29" s="377">
        <f t="shared" si="84"/>
        <v>8.1090650896440061E-2</v>
      </c>
      <c r="Q29" s="377">
        <f t="shared" si="85"/>
        <v>1.0066953514181261E-3</v>
      </c>
      <c r="R29" s="377">
        <f t="shared" si="86"/>
        <v>2.9099858160196824E-2</v>
      </c>
      <c r="S29" s="377">
        <f t="shared" si="87"/>
        <v>0.81290160637731601</v>
      </c>
      <c r="T29" s="377">
        <f t="shared" si="0"/>
        <v>1.0000000000000002</v>
      </c>
      <c r="U29" s="377">
        <f t="shared" si="1"/>
        <v>0.18709839362268418</v>
      </c>
      <c r="V29" s="390"/>
      <c r="W29" s="377"/>
      <c r="X29" s="377">
        <f t="shared" si="11"/>
        <v>6.4222953984210032E-2</v>
      </c>
      <c r="Y29" s="377">
        <f t="shared" si="12"/>
        <v>3.4812738005344959E-3</v>
      </c>
      <c r="Z29" s="377">
        <f t="shared" si="13"/>
        <v>7.2418959720790349E-2</v>
      </c>
      <c r="AA29" s="377">
        <f t="shared" si="14"/>
        <v>9.0675038525549667E-4</v>
      </c>
      <c r="AB29" s="377">
        <f t="shared" si="15"/>
        <v>2.666302699114706E-2</v>
      </c>
      <c r="AC29" s="377">
        <f t="shared" si="16"/>
        <v>0.83230703511806281</v>
      </c>
      <c r="AD29" s="377">
        <f t="shared" si="17"/>
        <v>1.0000000000000002</v>
      </c>
      <c r="AE29" s="377">
        <f t="shared" si="18"/>
        <v>0.16769296488193744</v>
      </c>
      <c r="AF29" s="377"/>
      <c r="AG29" s="390"/>
      <c r="AH29" s="377">
        <f t="shared" si="19"/>
        <v>0.59944339704999994</v>
      </c>
      <c r="AI29" s="377">
        <f t="shared" si="20"/>
        <v>0.55459193147500008</v>
      </c>
      <c r="AJ29" s="377">
        <f t="shared" si="21"/>
        <v>0.58449290852500002</v>
      </c>
      <c r="AK29" s="377">
        <f t="shared" si="22"/>
        <v>0.50048540157499999</v>
      </c>
      <c r="AL29" s="377">
        <f t="shared" si="23"/>
        <v>0.50048540157499999</v>
      </c>
      <c r="AM29" s="377">
        <v>0</v>
      </c>
      <c r="AN29" s="382"/>
      <c r="AP29" s="377">
        <f t="shared" si="24"/>
        <v>7.2862228717268024E-2</v>
      </c>
      <c r="AQ29" s="377">
        <f t="shared" si="25"/>
        <v>3.909310478011783E-3</v>
      </c>
      <c r="AR29" s="377">
        <f t="shared" si="26"/>
        <v>8.1672017251562937E-2</v>
      </c>
      <c r="AS29" s="377">
        <f t="shared" si="27"/>
        <v>1.018239008226325E-3</v>
      </c>
      <c r="AT29" s="377">
        <f t="shared" si="28"/>
        <v>2.9304116487033089E-2</v>
      </c>
      <c r="AU29" s="377">
        <f t="shared" si="29"/>
        <v>0.8112340880578981</v>
      </c>
      <c r="AV29" s="377">
        <f t="shared" si="2"/>
        <v>1.0000000000000002</v>
      </c>
      <c r="AW29" s="377">
        <f t="shared" si="3"/>
        <v>0.18876591194210215</v>
      </c>
      <c r="AX29" s="389"/>
      <c r="AY29" s="377">
        <f t="shared" si="88"/>
        <v>6.4959391019464158E-2</v>
      </c>
      <c r="AZ29" s="377">
        <f t="shared" si="89"/>
        <v>3.5211931564271539E-3</v>
      </c>
      <c r="BA29" s="377">
        <f t="shared" si="90"/>
        <v>7.2943420043153503E-2</v>
      </c>
      <c r="BB29" s="377">
        <f t="shared" si="91"/>
        <v>9.1714798492986346E-4</v>
      </c>
      <c r="BC29" s="377">
        <f t="shared" si="92"/>
        <v>2.6851557820173615E-2</v>
      </c>
      <c r="BD29" s="377">
        <f t="shared" si="93"/>
        <v>0.83080728997585196</v>
      </c>
      <c r="BE29" s="377">
        <f t="shared" si="31"/>
        <v>1.0000000000000002</v>
      </c>
      <c r="BF29" s="377">
        <f t="shared" si="32"/>
        <v>0.16919271002414832</v>
      </c>
      <c r="BG29" s="452"/>
      <c r="BH29" s="453"/>
      <c r="BJ29" s="383">
        <f t="shared" si="33"/>
        <v>41.714663443962991</v>
      </c>
      <c r="BK29" s="383">
        <f t="shared" si="34"/>
        <v>12.113940303922055</v>
      </c>
      <c r="BL29" s="383">
        <f t="shared" si="35"/>
        <v>70.461761106319614</v>
      </c>
      <c r="BM29" s="383">
        <f t="shared" si="36"/>
        <v>11.450177270282934</v>
      </c>
      <c r="BN29" s="383">
        <f t="shared" si="37"/>
        <v>117.51111417725699</v>
      </c>
      <c r="BO29" s="383">
        <f t="shared" si="38"/>
        <v>0</v>
      </c>
      <c r="BP29" s="383">
        <f t="shared" si="39"/>
        <v>253.25165630174456</v>
      </c>
      <c r="BQ29" s="445"/>
      <c r="BR29" s="383">
        <f t="shared" si="40"/>
        <v>37.190176331506294</v>
      </c>
      <c r="BS29" s="383">
        <f t="shared" si="41"/>
        <v>10.911265282063596</v>
      </c>
      <c r="BT29" s="383">
        <f t="shared" si="42"/>
        <v>62.926704657127473</v>
      </c>
      <c r="BU29" s="383">
        <f t="shared" si="43"/>
        <v>10.313400808344927</v>
      </c>
      <c r="BV29" s="383">
        <f t="shared" si="44"/>
        <v>107.67069694358864</v>
      </c>
      <c r="BW29" s="383">
        <f t="shared" si="94"/>
        <v>0</v>
      </c>
      <c r="BX29" s="385">
        <f t="shared" si="45"/>
        <v>229.01224402263091</v>
      </c>
      <c r="BY29" s="385"/>
      <c r="CA29" s="383">
        <f t="shared" si="46"/>
        <v>42.193000567491268</v>
      </c>
      <c r="CB29" s="383">
        <f t="shared" si="47"/>
        <v>12.252849427984756</v>
      </c>
      <c r="CC29" s="383">
        <f t="shared" si="48"/>
        <v>70.966925348770147</v>
      </c>
      <c r="CD29" s="383">
        <f t="shared" si="49"/>
        <v>11.581475101960599</v>
      </c>
      <c r="CE29" s="383">
        <f t="shared" si="50"/>
        <v>118.33595062265736</v>
      </c>
      <c r="CF29" s="383">
        <f t="shared" si="51"/>
        <v>0</v>
      </c>
      <c r="CG29" s="383">
        <f t="shared" si="52"/>
        <v>255.33020106886414</v>
      </c>
      <c r="CH29" s="383"/>
      <c r="CI29" s="398"/>
      <c r="CJ29" s="383">
        <f t="shared" si="53"/>
        <v>37.616631695189596</v>
      </c>
      <c r="CK29" s="383">
        <f t="shared" si="54"/>
        <v>11.036383473562072</v>
      </c>
      <c r="CL29" s="383">
        <f t="shared" si="55"/>
        <v>63.382421777850674</v>
      </c>
      <c r="CM29" s="383">
        <f t="shared" si="56"/>
        <v>10.431663358469176</v>
      </c>
      <c r="CN29" s="383">
        <f t="shared" si="57"/>
        <v>108.43202257114703</v>
      </c>
      <c r="CO29" s="383">
        <f t="shared" si="58"/>
        <v>0</v>
      </c>
      <c r="CP29" s="383">
        <f t="shared" si="95"/>
        <v>230.89912287621854</v>
      </c>
      <c r="CR29" s="377">
        <f t="shared" si="59"/>
        <v>2.1701610714803622E-2</v>
      </c>
      <c r="CS29" s="377">
        <f t="shared" si="60"/>
        <v>1.0772463894480832E-3</v>
      </c>
      <c r="CT29" s="377">
        <f t="shared" si="61"/>
        <v>2.3820070192818867E-2</v>
      </c>
      <c r="CU29" s="377">
        <f t="shared" si="62"/>
        <v>2.5321094939721256E-4</v>
      </c>
      <c r="CV29" s="377">
        <f t="shared" si="63"/>
        <v>7.3193967784671229E-3</v>
      </c>
      <c r="CW29" s="377">
        <v>0</v>
      </c>
      <c r="CX29" s="377">
        <f t="shared" si="4"/>
        <v>5.4171535024934908E-2</v>
      </c>
      <c r="CY29" s="377"/>
      <c r="CZ29" s="454"/>
      <c r="DA29" s="377">
        <f t="shared" si="64"/>
        <v>1.9347794337246552E-2</v>
      </c>
      <c r="DB29" s="377">
        <f t="shared" si="65"/>
        <v>9.7029709859208042E-4</v>
      </c>
      <c r="DC29" s="377">
        <f t="shared" si="66"/>
        <v>2.1272793901274234E-2</v>
      </c>
      <c r="DD29" s="377">
        <f t="shared" si="67"/>
        <v>2.2807210303831994E-4</v>
      </c>
      <c r="DE29" s="377">
        <f t="shared" si="68"/>
        <v>6.7064682167462418E-3</v>
      </c>
      <c r="DF29" s="377">
        <v>0</v>
      </c>
      <c r="DG29" s="377">
        <f t="shared" si="69"/>
        <v>4.8525425656897422E-2</v>
      </c>
      <c r="DJ29" s="377">
        <f t="shared" si="70"/>
        <v>2.1950460524156497E-2</v>
      </c>
      <c r="DK29" s="377">
        <f t="shared" si="71"/>
        <v>1.0895990466845973E-3</v>
      </c>
      <c r="DL29" s="377">
        <f t="shared" si="72"/>
        <v>2.3990844347837742E-2</v>
      </c>
      <c r="DM29" s="377">
        <f t="shared" si="73"/>
        <v>2.5611448947594848E-4</v>
      </c>
      <c r="DN29" s="377">
        <f t="shared" si="74"/>
        <v>7.3707732398639488E-3</v>
      </c>
      <c r="DO29" s="377">
        <f t="shared" si="75"/>
        <v>0</v>
      </c>
      <c r="DP29" s="377">
        <f t="shared" si="96"/>
        <v>5.4657791648018733E-2</v>
      </c>
      <c r="DQ29" s="454"/>
      <c r="DS29" s="377">
        <f t="shared" si="76"/>
        <v>1.9569653211940041E-2</v>
      </c>
      <c r="DT29" s="377">
        <f t="shared" si="77"/>
        <v>9.8142338092998887E-4</v>
      </c>
      <c r="DU29" s="377">
        <f t="shared" si="78"/>
        <v>2.1426852125667983E-2</v>
      </c>
      <c r="DV29" s="377">
        <f t="shared" si="79"/>
        <v>2.3068737893215392E-4</v>
      </c>
      <c r="DW29" s="377">
        <f t="shared" si="80"/>
        <v>6.7538887895552931E-3</v>
      </c>
      <c r="DX29" s="377">
        <f t="shared" si="81"/>
        <v>0</v>
      </c>
      <c r="DY29" s="402">
        <f t="shared" si="97"/>
        <v>4.8962504887025464E-2</v>
      </c>
    </row>
    <row r="30" spans="2:129" x14ac:dyDescent="0.15">
      <c r="B30" s="461" t="s">
        <v>588</v>
      </c>
      <c r="C30" s="239">
        <v>21</v>
      </c>
      <c r="D30" s="239">
        <v>83</v>
      </c>
      <c r="E30" s="457">
        <f t="shared" si="5"/>
        <v>4.2999999999999997E-2</v>
      </c>
      <c r="F30" s="378">
        <v>1.12E-2</v>
      </c>
      <c r="G30" s="377">
        <f t="shared" si="6"/>
        <v>0.18041650000000001</v>
      </c>
      <c r="H30" s="377">
        <f t="shared" si="7"/>
        <v>0.40593712500000001</v>
      </c>
      <c r="I30" s="377">
        <f t="shared" si="8"/>
        <v>0.27062475000000003</v>
      </c>
      <c r="J30" s="377">
        <f t="shared" si="9"/>
        <v>0.42668502250000007</v>
      </c>
      <c r="K30" s="377">
        <f t="shared" si="10"/>
        <v>0.20928313999999998</v>
      </c>
      <c r="L30" s="377"/>
      <c r="N30" s="377">
        <f t="shared" si="82"/>
        <v>5.6409709835128351E-2</v>
      </c>
      <c r="O30" s="377">
        <f t="shared" si="83"/>
        <v>3.0975565197315438E-3</v>
      </c>
      <c r="P30" s="377">
        <f t="shared" si="84"/>
        <v>6.3747268545140623E-2</v>
      </c>
      <c r="Q30" s="377">
        <f t="shared" si="85"/>
        <v>8.0680541909286725E-4</v>
      </c>
      <c r="R30" s="377">
        <f t="shared" si="86"/>
        <v>2.4226195822097299E-2</v>
      </c>
      <c r="S30" s="377">
        <f t="shared" si="87"/>
        <v>0.85171246385880961</v>
      </c>
      <c r="T30" s="377">
        <f t="shared" si="0"/>
        <v>1.0000000000000002</v>
      </c>
      <c r="U30" s="377">
        <f t="shared" si="1"/>
        <v>0.14828753614119067</v>
      </c>
      <c r="V30" s="390"/>
      <c r="W30" s="377"/>
      <c r="X30" s="377">
        <f t="shared" si="11"/>
        <v>4.9792385491361654E-2</v>
      </c>
      <c r="Y30" s="377">
        <f t="shared" si="12"/>
        <v>2.7615870213210311E-3</v>
      </c>
      <c r="Z30" s="377">
        <f t="shared" si="13"/>
        <v>5.6041545904328208E-2</v>
      </c>
      <c r="AA30" s="377">
        <f t="shared" si="14"/>
        <v>7.1929708462315238E-4</v>
      </c>
      <c r="AB30" s="377">
        <f t="shared" si="15"/>
        <v>2.1922405471492649E-2</v>
      </c>
      <c r="AC30" s="377">
        <f t="shared" si="16"/>
        <v>0.86876277902687371</v>
      </c>
      <c r="AD30" s="377">
        <f t="shared" si="17"/>
        <v>1.0000000000000002</v>
      </c>
      <c r="AE30" s="377">
        <f t="shared" si="18"/>
        <v>0.13123722097312671</v>
      </c>
      <c r="AF30" s="377"/>
      <c r="AG30" s="390"/>
      <c r="AH30" s="377">
        <f t="shared" si="19"/>
        <v>0.59451525525000004</v>
      </c>
      <c r="AI30" s="377">
        <f t="shared" si="20"/>
        <v>0.550032522375</v>
      </c>
      <c r="AJ30" s="377">
        <f t="shared" si="21"/>
        <v>0.57968767762500006</v>
      </c>
      <c r="AK30" s="377">
        <f t="shared" si="22"/>
        <v>0.49637081287500007</v>
      </c>
      <c r="AL30" s="377">
        <f t="shared" si="23"/>
        <v>0.49637081287500007</v>
      </c>
      <c r="AM30" s="377">
        <v>0</v>
      </c>
      <c r="AN30" s="382"/>
      <c r="AP30" s="377">
        <f t="shared" si="24"/>
        <v>5.7056553321660299E-2</v>
      </c>
      <c r="AQ30" s="377">
        <f t="shared" si="25"/>
        <v>3.1330758348425249E-3</v>
      </c>
      <c r="AR30" s="377">
        <f t="shared" si="26"/>
        <v>6.421482283474407E-2</v>
      </c>
      <c r="AS30" s="377">
        <f t="shared" si="27"/>
        <v>8.1605696163340182E-4</v>
      </c>
      <c r="AT30" s="377">
        <f t="shared" si="28"/>
        <v>2.4398999153314137E-2</v>
      </c>
      <c r="AU30" s="377">
        <f t="shared" si="29"/>
        <v>0.85038049189380582</v>
      </c>
      <c r="AV30" s="377">
        <f t="shared" si="2"/>
        <v>1.0000000000000002</v>
      </c>
      <c r="AW30" s="377">
        <f t="shared" si="3"/>
        <v>0.14961950810619443</v>
      </c>
      <c r="AX30" s="389"/>
      <c r="AY30" s="377">
        <f t="shared" si="88"/>
        <v>5.0363348900464643E-2</v>
      </c>
      <c r="AZ30" s="377">
        <f t="shared" si="89"/>
        <v>2.7932538138369586E-3</v>
      </c>
      <c r="BA30" s="377">
        <f t="shared" si="90"/>
        <v>5.6456384665790407E-2</v>
      </c>
      <c r="BB30" s="377">
        <f t="shared" si="91"/>
        <v>7.2754517941799859E-4</v>
      </c>
      <c r="BC30" s="377">
        <f t="shared" si="92"/>
        <v>2.207977841478146E-2</v>
      </c>
      <c r="BD30" s="377">
        <f t="shared" si="93"/>
        <v>0.86757968902570881</v>
      </c>
      <c r="BE30" s="377">
        <f t="shared" si="31"/>
        <v>1.0000000000000002</v>
      </c>
      <c r="BF30" s="377">
        <f t="shared" si="32"/>
        <v>0.13242031097429147</v>
      </c>
      <c r="BG30" s="452"/>
      <c r="BH30" s="453"/>
      <c r="BJ30" s="383">
        <f t="shared" si="33"/>
        <v>31.561052385555175</v>
      </c>
      <c r="BK30" s="383">
        <f t="shared" si="34"/>
        <v>9.3802804446426489</v>
      </c>
      <c r="BL30" s="383">
        <f t="shared" si="35"/>
        <v>53.518500683995477</v>
      </c>
      <c r="BM30" s="383">
        <f t="shared" si="36"/>
        <v>8.8663037163351888</v>
      </c>
      <c r="BN30" s="383">
        <f t="shared" si="37"/>
        <v>94.522009381565525</v>
      </c>
      <c r="BO30" s="383">
        <f t="shared" si="38"/>
        <v>0</v>
      </c>
      <c r="BP30" s="383">
        <f t="shared" si="39"/>
        <v>197.84814661209401</v>
      </c>
      <c r="BQ30" s="445"/>
      <c r="BR30" s="383">
        <f t="shared" si="40"/>
        <v>27.858680562047372</v>
      </c>
      <c r="BS30" s="383">
        <f t="shared" si="41"/>
        <v>8.3628694318454837</v>
      </c>
      <c r="BT30" s="383">
        <f t="shared" si="42"/>
        <v>47.049223931675151</v>
      </c>
      <c r="BU30" s="383">
        <f t="shared" si="43"/>
        <v>7.9046400329262543</v>
      </c>
      <c r="BV30" s="383">
        <f t="shared" si="44"/>
        <v>85.533437889280734</v>
      </c>
      <c r="BW30" s="383">
        <f t="shared" si="94"/>
        <v>0</v>
      </c>
      <c r="BX30" s="385">
        <f t="shared" si="45"/>
        <v>176.70885184777501</v>
      </c>
      <c r="BY30" s="385"/>
      <c r="CA30" s="383">
        <f t="shared" si="46"/>
        <v>31.9229592491671</v>
      </c>
      <c r="CB30" s="383">
        <f t="shared" si="47"/>
        <v>9.4878430136612479</v>
      </c>
      <c r="CC30" s="383">
        <f t="shared" si="48"/>
        <v>53.911032083991515</v>
      </c>
      <c r="CD30" s="383">
        <f t="shared" si="49"/>
        <v>8.9679725748577326</v>
      </c>
      <c r="CE30" s="383">
        <f t="shared" si="50"/>
        <v>95.196226589020995</v>
      </c>
      <c r="CF30" s="383">
        <f t="shared" si="51"/>
        <v>0</v>
      </c>
      <c r="CG30" s="383">
        <f t="shared" si="52"/>
        <v>199.48603351069858</v>
      </c>
      <c r="CH30" s="383"/>
      <c r="CI30" s="398"/>
      <c r="CJ30" s="383">
        <f t="shared" si="53"/>
        <v>28.178132764825992</v>
      </c>
      <c r="CK30" s="383">
        <f t="shared" si="54"/>
        <v>8.4587654688312615</v>
      </c>
      <c r="CL30" s="383">
        <f t="shared" si="55"/>
        <v>47.397498438893322</v>
      </c>
      <c r="CM30" s="383">
        <f t="shared" si="56"/>
        <v>7.995281607464082</v>
      </c>
      <c r="CN30" s="383">
        <f t="shared" si="57"/>
        <v>86.147451204915754</v>
      </c>
      <c r="CO30" s="383">
        <f t="shared" si="58"/>
        <v>0</v>
      </c>
      <c r="CP30" s="383">
        <f t="shared" si="95"/>
        <v>178.17712948493039</v>
      </c>
      <c r="CR30" s="377">
        <f t="shared" si="59"/>
        <v>1.6284316069602987E-2</v>
      </c>
      <c r="CS30" s="377">
        <f t="shared" si="60"/>
        <v>8.2729474008509272E-4</v>
      </c>
      <c r="CT30" s="377">
        <f t="shared" si="61"/>
        <v>1.7943547299347273E-2</v>
      </c>
      <c r="CU30" s="377">
        <f t="shared" si="62"/>
        <v>1.9445884304666048E-4</v>
      </c>
      <c r="CV30" s="377">
        <f t="shared" si="63"/>
        <v>5.8390758161784503E-3</v>
      </c>
      <c r="CW30" s="377">
        <v>0</v>
      </c>
      <c r="CX30" s="377">
        <f t="shared" si="4"/>
        <v>4.1088692768260465E-2</v>
      </c>
      <c r="CY30" s="377"/>
      <c r="CZ30" s="454"/>
      <c r="DA30" s="377">
        <f t="shared" si="64"/>
        <v>1.4374031449030983E-2</v>
      </c>
      <c r="DB30" s="377">
        <f t="shared" si="65"/>
        <v>7.3756407751492819E-4</v>
      </c>
      <c r="DC30" s="377">
        <f t="shared" si="66"/>
        <v>1.5774544582263662E-2</v>
      </c>
      <c r="DD30" s="377">
        <f t="shared" si="67"/>
        <v>1.7336730216800132E-4</v>
      </c>
      <c r="DE30" s="377">
        <f t="shared" si="68"/>
        <v>5.2838088390374923E-3</v>
      </c>
      <c r="DF30" s="377">
        <v>0</v>
      </c>
      <c r="DG30" s="377">
        <f t="shared" si="69"/>
        <v>3.6343316250015065E-2</v>
      </c>
      <c r="DJ30" s="377">
        <f t="shared" si="70"/>
        <v>1.6471046400481072E-2</v>
      </c>
      <c r="DK30" s="377">
        <f t="shared" si="71"/>
        <v>8.3678123125177726E-4</v>
      </c>
      <c r="DL30" s="377">
        <f t="shared" si="72"/>
        <v>1.8075154232506638E-2</v>
      </c>
      <c r="DM30" s="377">
        <f t="shared" si="73"/>
        <v>1.9668867965441663E-4</v>
      </c>
      <c r="DN30" s="377">
        <f t="shared" si="74"/>
        <v>5.8807254321426288E-3</v>
      </c>
      <c r="DO30" s="377">
        <f t="shared" si="75"/>
        <v>0</v>
      </c>
      <c r="DP30" s="377">
        <f t="shared" si="96"/>
        <v>4.1460395976036533E-2</v>
      </c>
      <c r="DQ30" s="454"/>
      <c r="DS30" s="377">
        <f t="shared" si="76"/>
        <v>1.4538856771571839E-2</v>
      </c>
      <c r="DT30" s="377">
        <f t="shared" si="77"/>
        <v>7.4602163776182353E-4</v>
      </c>
      <c r="DU30" s="377">
        <f t="shared" si="78"/>
        <v>1.5891313176554549E-2</v>
      </c>
      <c r="DV30" s="377">
        <f t="shared" si="79"/>
        <v>1.7535528456522959E-4</v>
      </c>
      <c r="DW30" s="377">
        <f t="shared" si="80"/>
        <v>5.3217393731595838E-3</v>
      </c>
      <c r="DX30" s="377">
        <f t="shared" si="81"/>
        <v>0</v>
      </c>
      <c r="DY30" s="402">
        <f t="shared" si="97"/>
        <v>3.6673286243613025E-2</v>
      </c>
    </row>
    <row r="31" spans="2:129" x14ac:dyDescent="0.15">
      <c r="B31" s="461" t="s">
        <v>588</v>
      </c>
      <c r="C31" s="239">
        <v>22</v>
      </c>
      <c r="D31" s="239">
        <v>84</v>
      </c>
      <c r="E31" s="457">
        <f t="shared" si="5"/>
        <v>4.2999999999999997E-2</v>
      </c>
      <c r="F31" s="378">
        <v>1.12E-2</v>
      </c>
      <c r="G31" s="377">
        <f t="shared" si="6"/>
        <v>0.20341549999999997</v>
      </c>
      <c r="H31" s="377">
        <f t="shared" si="7"/>
        <v>0.45768487499999999</v>
      </c>
      <c r="I31" s="377">
        <f t="shared" si="8"/>
        <v>0.30512324999999996</v>
      </c>
      <c r="J31" s="377">
        <f t="shared" si="9"/>
        <v>0.48107765749999998</v>
      </c>
      <c r="K31" s="377">
        <f t="shared" si="10"/>
        <v>0.23596197999999999</v>
      </c>
      <c r="L31" s="377"/>
      <c r="N31" s="377">
        <f t="shared" si="82"/>
        <v>4.3175061147594965E-2</v>
      </c>
      <c r="O31" s="377">
        <f t="shared" si="83"/>
        <v>2.4256175229105188E-3</v>
      </c>
      <c r="P31" s="377">
        <f t="shared" si="84"/>
        <v>4.8335823263515786E-2</v>
      </c>
      <c r="Q31" s="377">
        <f t="shared" si="85"/>
        <v>6.3178875015343751E-4</v>
      </c>
      <c r="R31" s="377">
        <f t="shared" si="86"/>
        <v>1.9618615120888E-2</v>
      </c>
      <c r="S31" s="377">
        <f t="shared" si="87"/>
        <v>0.8858130941949377</v>
      </c>
      <c r="T31" s="377">
        <f t="shared" si="0"/>
        <v>1.0000000000000004</v>
      </c>
      <c r="U31" s="377">
        <f t="shared" si="1"/>
        <v>0.1141869058050627</v>
      </c>
      <c r="V31" s="390"/>
      <c r="W31" s="377"/>
      <c r="X31" s="377">
        <f t="shared" si="11"/>
        <v>3.761377866506084E-2</v>
      </c>
      <c r="Y31" s="377">
        <f t="shared" si="12"/>
        <v>2.1410725761285511E-3</v>
      </c>
      <c r="Z31" s="377">
        <f t="shared" si="13"/>
        <v>4.1619356055790722E-2</v>
      </c>
      <c r="AA31" s="377">
        <f t="shared" si="14"/>
        <v>5.5767471750325058E-4</v>
      </c>
      <c r="AB31" s="377">
        <f t="shared" si="15"/>
        <v>1.746791613559405E-2</v>
      </c>
      <c r="AC31" s="377">
        <f t="shared" si="16"/>
        <v>0.90060020184992307</v>
      </c>
      <c r="AD31" s="377">
        <f t="shared" si="17"/>
        <v>1.0000000000000004</v>
      </c>
      <c r="AE31" s="377">
        <f t="shared" si="18"/>
        <v>9.9399798150077406E-2</v>
      </c>
      <c r="AF31" s="377"/>
      <c r="AG31" s="390"/>
      <c r="AH31" s="377">
        <f t="shared" si="19"/>
        <v>0.58953120465000008</v>
      </c>
      <c r="AI31" s="377">
        <f t="shared" si="20"/>
        <v>0.54542138767500004</v>
      </c>
      <c r="AJ31" s="377">
        <f t="shared" si="21"/>
        <v>0.57482793232500007</v>
      </c>
      <c r="AK31" s="377">
        <f t="shared" si="22"/>
        <v>0.49220954497500002</v>
      </c>
      <c r="AL31" s="377">
        <f t="shared" si="23"/>
        <v>0.49220954497500002</v>
      </c>
      <c r="AM31" s="377">
        <v>0</v>
      </c>
      <c r="AN31" s="382"/>
      <c r="AP31" s="377">
        <f t="shared" si="24"/>
        <v>4.3670144479268987E-2</v>
      </c>
      <c r="AQ31" s="377">
        <f t="shared" si="25"/>
        <v>2.4534317928313928E-3</v>
      </c>
      <c r="AR31" s="377">
        <f t="shared" si="26"/>
        <v>4.8697946496836737E-2</v>
      </c>
      <c r="AS31" s="377">
        <f t="shared" si="27"/>
        <v>6.3903339720259536E-4</v>
      </c>
      <c r="AT31" s="377">
        <f t="shared" si="28"/>
        <v>1.9760557676248788E-2</v>
      </c>
      <c r="AU31" s="377">
        <f t="shared" si="29"/>
        <v>0.8847788861576118</v>
      </c>
      <c r="AV31" s="377">
        <f t="shared" si="2"/>
        <v>1.0000000000000002</v>
      </c>
      <c r="AW31" s="377">
        <f t="shared" si="3"/>
        <v>0.11522111384238851</v>
      </c>
      <c r="AX31" s="389"/>
      <c r="AY31" s="377">
        <f t="shared" si="88"/>
        <v>3.8045091426719427E-2</v>
      </c>
      <c r="AZ31" s="377">
        <f t="shared" si="89"/>
        <v>2.1656240027199793E-3</v>
      </c>
      <c r="BA31" s="377">
        <f t="shared" si="90"/>
        <v>4.1933775229820433E-2</v>
      </c>
      <c r="BB31" s="377">
        <f t="shared" si="91"/>
        <v>5.6406950768520393E-4</v>
      </c>
      <c r="BC31" s="377">
        <f t="shared" si="92"/>
        <v>1.7594991872358908E-2</v>
      </c>
      <c r="BD31" s="377">
        <f t="shared" si="93"/>
        <v>0.89969644796069637</v>
      </c>
      <c r="BE31" s="377">
        <f t="shared" si="31"/>
        <v>1.0000000000000002</v>
      </c>
      <c r="BF31" s="377">
        <f t="shared" si="32"/>
        <v>0.10030355203930395</v>
      </c>
      <c r="BG31" s="452"/>
      <c r="BH31" s="453"/>
      <c r="BJ31" s="383">
        <f t="shared" si="33"/>
        <v>23.339428732888475</v>
      </c>
      <c r="BK31" s="383">
        <f t="shared" si="34"/>
        <v>7.0970612744428214</v>
      </c>
      <c r="BL31" s="383">
        <f t="shared" si="35"/>
        <v>39.207678434159256</v>
      </c>
      <c r="BM31" s="383">
        <f t="shared" si="36"/>
        <v>6.708189709678571</v>
      </c>
      <c r="BN31" s="383">
        <f t="shared" si="37"/>
        <v>73.956392654102345</v>
      </c>
      <c r="BO31" s="383">
        <f t="shared" si="38"/>
        <v>0</v>
      </c>
      <c r="BP31" s="383">
        <f t="shared" si="39"/>
        <v>150.30875080527147</v>
      </c>
      <c r="BQ31" s="445"/>
      <c r="BR31" s="383">
        <f t="shared" si="40"/>
        <v>20.333129431519762</v>
      </c>
      <c r="BS31" s="383">
        <f t="shared" si="41"/>
        <v>6.2645174361951641</v>
      </c>
      <c r="BT31" s="383">
        <f t="shared" si="42"/>
        <v>33.759605582303465</v>
      </c>
      <c r="BU31" s="383">
        <f t="shared" si="43"/>
        <v>5.9212637141681697</v>
      </c>
      <c r="BV31" s="383">
        <f t="shared" si="44"/>
        <v>65.848891810792082</v>
      </c>
      <c r="BW31" s="383">
        <f t="shared" si="94"/>
        <v>0</v>
      </c>
      <c r="BX31" s="385">
        <f t="shared" si="45"/>
        <v>132.12740797497864</v>
      </c>
      <c r="BY31" s="385"/>
      <c r="CA31" s="383">
        <f t="shared" si="46"/>
        <v>23.607059208197956</v>
      </c>
      <c r="CB31" s="383">
        <f t="shared" si="47"/>
        <v>7.1784424386485748</v>
      </c>
      <c r="CC31" s="383">
        <f t="shared" si="48"/>
        <v>39.501415259705425</v>
      </c>
      <c r="CD31" s="383">
        <f t="shared" si="49"/>
        <v>6.7851117295366494</v>
      </c>
      <c r="CE31" s="383">
        <f t="shared" si="50"/>
        <v>74.491474223005355</v>
      </c>
      <c r="CF31" s="383">
        <f t="shared" si="51"/>
        <v>0</v>
      </c>
      <c r="CG31" s="383">
        <f t="shared" si="52"/>
        <v>151.56350285909394</v>
      </c>
      <c r="CH31" s="383"/>
      <c r="CI31" s="398"/>
      <c r="CJ31" s="383">
        <f t="shared" si="53"/>
        <v>20.566287027473198</v>
      </c>
      <c r="CK31" s="383">
        <f t="shared" si="54"/>
        <v>6.3363519184449766</v>
      </c>
      <c r="CL31" s="383">
        <f t="shared" si="55"/>
        <v>34.014647185747016</v>
      </c>
      <c r="CM31" s="383">
        <f t="shared" si="56"/>
        <v>5.9891621464902309</v>
      </c>
      <c r="CN31" s="383">
        <f t="shared" si="57"/>
        <v>66.327929858436192</v>
      </c>
      <c r="CO31" s="383">
        <f t="shared" si="58"/>
        <v>0</v>
      </c>
      <c r="CP31" s="383">
        <f t="shared" si="95"/>
        <v>133.2343781365916</v>
      </c>
      <c r="CR31" s="377">
        <f t="shared" si="59"/>
        <v>1.1941312496039498E-2</v>
      </c>
      <c r="CS31" s="377">
        <f t="shared" si="60"/>
        <v>6.20678625753852E-4</v>
      </c>
      <c r="CT31" s="377">
        <f t="shared" si="61"/>
        <v>1.3035247692860158E-2</v>
      </c>
      <c r="CU31" s="377">
        <f t="shared" si="62"/>
        <v>1.4589292258218733E-4</v>
      </c>
      <c r="CV31" s="377">
        <f t="shared" si="63"/>
        <v>4.5303388138935984E-3</v>
      </c>
      <c r="CW31" s="377">
        <v>0</v>
      </c>
      <c r="CX31" s="377">
        <f t="shared" si="4"/>
        <v>3.0273470551129292E-2</v>
      </c>
      <c r="CY31" s="377"/>
      <c r="CZ31" s="454"/>
      <c r="DA31" s="377">
        <f t="shared" si="64"/>
        <v>1.0403178901377767E-2</v>
      </c>
      <c r="DB31" s="377">
        <f t="shared" si="65"/>
        <v>5.4786790235426266E-4</v>
      </c>
      <c r="DC31" s="377">
        <f t="shared" si="66"/>
        <v>1.1223944858596591E-2</v>
      </c>
      <c r="DD31" s="377">
        <f t="shared" si="67"/>
        <v>1.2877847914668548E-4</v>
      </c>
      <c r="DE31" s="377">
        <f t="shared" si="68"/>
        <v>4.0336985041652656E-3</v>
      </c>
      <c r="DF31" s="377">
        <v>0</v>
      </c>
      <c r="DG31" s="377">
        <f t="shared" si="69"/>
        <v>2.6337468645640572E-2</v>
      </c>
      <c r="DJ31" s="377">
        <f t="shared" si="70"/>
        <v>1.2078242117398684E-2</v>
      </c>
      <c r="DK31" s="377">
        <f t="shared" si="71"/>
        <v>6.2779587431747541E-4</v>
      </c>
      <c r="DL31" s="377">
        <f t="shared" si="72"/>
        <v>1.3132905407635049E-2</v>
      </c>
      <c r="DM31" s="377">
        <f t="shared" si="73"/>
        <v>1.4756585951058524E-4</v>
      </c>
      <c r="DN31" s="377">
        <f t="shared" si="74"/>
        <v>4.5631162481789347E-3</v>
      </c>
      <c r="DO31" s="377">
        <f t="shared" si="75"/>
        <v>0</v>
      </c>
      <c r="DP31" s="377">
        <f t="shared" si="96"/>
        <v>3.0549625507040729E-2</v>
      </c>
      <c r="DQ31" s="454"/>
      <c r="DS31" s="377">
        <f t="shared" si="76"/>
        <v>1.0522470926301323E-2</v>
      </c>
      <c r="DT31" s="377">
        <f t="shared" si="77"/>
        <v>5.5415023894407232E-4</v>
      </c>
      <c r="DU31" s="377">
        <f t="shared" si="78"/>
        <v>1.1308737700347056E-2</v>
      </c>
      <c r="DV31" s="377">
        <f t="shared" si="79"/>
        <v>1.3025516677165263E-4</v>
      </c>
      <c r="DW31" s="377">
        <f t="shared" si="80"/>
        <v>4.0630428864788281E-3</v>
      </c>
      <c r="DX31" s="377">
        <f t="shared" si="81"/>
        <v>0</v>
      </c>
      <c r="DY31" s="402">
        <f t="shared" si="97"/>
        <v>2.6578656918842931E-2</v>
      </c>
    </row>
    <row r="32" spans="2:129" x14ac:dyDescent="0.15">
      <c r="B32" s="461" t="s">
        <v>588</v>
      </c>
      <c r="C32" s="239">
        <v>23</v>
      </c>
      <c r="D32" s="239">
        <v>85</v>
      </c>
      <c r="E32" s="457">
        <f t="shared" si="5"/>
        <v>4.2999999999999997E-2</v>
      </c>
      <c r="F32" s="378">
        <v>1.12E-2</v>
      </c>
      <c r="G32" s="377">
        <f t="shared" si="6"/>
        <v>0.22801650000000001</v>
      </c>
      <c r="H32" s="377">
        <f t="shared" si="7"/>
        <v>0.51303712499999998</v>
      </c>
      <c r="I32" s="377">
        <f t="shared" si="8"/>
        <v>0.34202475000000004</v>
      </c>
      <c r="J32" s="377">
        <f t="shared" si="9"/>
        <v>0.53925902250000002</v>
      </c>
      <c r="K32" s="377">
        <f t="shared" si="10"/>
        <v>0.26449913999999997</v>
      </c>
      <c r="L32" s="377"/>
      <c r="N32" s="377">
        <f t="shared" si="82"/>
        <v>3.2052496182526716E-2</v>
      </c>
      <c r="O32" s="377">
        <f t="shared" si="83"/>
        <v>1.8565276293465833E-3</v>
      </c>
      <c r="P32" s="377">
        <f t="shared" si="84"/>
        <v>3.4902888848065659E-2</v>
      </c>
      <c r="Q32" s="377">
        <f t="shared" si="85"/>
        <v>4.8356068485306359E-4</v>
      </c>
      <c r="R32" s="377">
        <f t="shared" si="86"/>
        <v>1.5317217150300096E-2</v>
      </c>
      <c r="S32" s="377">
        <f t="shared" si="87"/>
        <v>0.91538730950490832</v>
      </c>
      <c r="T32" s="377">
        <f t="shared" si="0"/>
        <v>1.0000000000000004</v>
      </c>
      <c r="U32" s="377">
        <f t="shared" si="1"/>
        <v>8.4612690495092124E-2</v>
      </c>
      <c r="V32" s="390"/>
      <c r="W32" s="377"/>
      <c r="X32" s="377">
        <f t="shared" si="11"/>
        <v>2.7529624538078688E-2</v>
      </c>
      <c r="Y32" s="377">
        <f t="shared" si="12"/>
        <v>1.617392482597616E-3</v>
      </c>
      <c r="Z32" s="377">
        <f t="shared" si="13"/>
        <v>2.9386092947748708E-2</v>
      </c>
      <c r="AA32" s="377">
        <f t="shared" si="14"/>
        <v>4.2127432104868137E-4</v>
      </c>
      <c r="AB32" s="377">
        <f t="shared" si="15"/>
        <v>1.3402919879886168E-2</v>
      </c>
      <c r="AC32" s="377">
        <f t="shared" si="16"/>
        <v>0.92764269583064063</v>
      </c>
      <c r="AD32" s="377">
        <f t="shared" si="17"/>
        <v>1.0000000000000004</v>
      </c>
      <c r="AE32" s="377">
        <f t="shared" si="18"/>
        <v>7.2357304169359857E-2</v>
      </c>
      <c r="AF32" s="377"/>
      <c r="AG32" s="390"/>
      <c r="AH32" s="377">
        <f t="shared" si="19"/>
        <v>0.58449124525000007</v>
      </c>
      <c r="AI32" s="377">
        <f t="shared" si="20"/>
        <v>0.54075852737500008</v>
      </c>
      <c r="AJ32" s="377">
        <f t="shared" si="21"/>
        <v>0.56991367262500003</v>
      </c>
      <c r="AK32" s="377">
        <f t="shared" si="22"/>
        <v>0.48800159787499997</v>
      </c>
      <c r="AL32" s="377">
        <f t="shared" si="23"/>
        <v>0.48800159787499997</v>
      </c>
      <c r="AM32" s="377">
        <v>0</v>
      </c>
      <c r="AN32" s="382"/>
      <c r="AP32" s="377">
        <f t="shared" si="24"/>
        <v>3.2420038374169867E-2</v>
      </c>
      <c r="AQ32" s="377">
        <f t="shared" si="25"/>
        <v>1.8778162126085662E-3</v>
      </c>
      <c r="AR32" s="377">
        <f t="shared" si="26"/>
        <v>3.5169603962804129E-2</v>
      </c>
      <c r="AS32" s="377">
        <f t="shared" si="27"/>
        <v>4.8910561816781261E-4</v>
      </c>
      <c r="AT32" s="377">
        <f t="shared" si="28"/>
        <v>1.5429426068469029E-2</v>
      </c>
      <c r="AU32" s="377">
        <f t="shared" si="29"/>
        <v>0.91461400976378093</v>
      </c>
      <c r="AV32" s="377">
        <f t="shared" si="2"/>
        <v>1.0000000000000004</v>
      </c>
      <c r="AW32" s="377">
        <f t="shared" si="3"/>
        <v>8.53859902362194E-2</v>
      </c>
      <c r="AX32" s="389"/>
      <c r="AY32" s="377">
        <f t="shared" si="88"/>
        <v>2.7845303494257911E-2</v>
      </c>
      <c r="AZ32" s="377">
        <f t="shared" si="89"/>
        <v>1.6359389313489352E-3</v>
      </c>
      <c r="BA32" s="377">
        <f t="shared" si="90"/>
        <v>2.9612379852122322E-2</v>
      </c>
      <c r="BB32" s="377">
        <f t="shared" si="91"/>
        <v>4.2610502397925757E-4</v>
      </c>
      <c r="BC32" s="377">
        <f t="shared" si="92"/>
        <v>1.3501566605874898E-2</v>
      </c>
      <c r="BD32" s="377">
        <f t="shared" si="93"/>
        <v>0.92697870609241706</v>
      </c>
      <c r="BE32" s="377">
        <f t="shared" si="31"/>
        <v>1.0000000000000004</v>
      </c>
      <c r="BF32" s="377">
        <f t="shared" si="32"/>
        <v>7.3021293907583329E-2</v>
      </c>
      <c r="BG32" s="452"/>
      <c r="BH32" s="453"/>
      <c r="BJ32" s="383">
        <f t="shared" si="33"/>
        <v>16.740898676474441</v>
      </c>
      <c r="BK32" s="383">
        <f t="shared" si="34"/>
        <v>5.2482836695145005</v>
      </c>
      <c r="BL32" s="383">
        <f t="shared" si="35"/>
        <v>27.354137903814181</v>
      </c>
      <c r="BM32" s="383">
        <f t="shared" si="36"/>
        <v>4.9607127716500186</v>
      </c>
      <c r="BN32" s="383">
        <f t="shared" si="37"/>
        <v>55.788783543460688</v>
      </c>
      <c r="BO32" s="383">
        <f t="shared" si="38"/>
        <v>0</v>
      </c>
      <c r="BP32" s="383">
        <f t="shared" si="39"/>
        <v>110.09281656491382</v>
      </c>
      <c r="BQ32" s="445"/>
      <c r="BR32" s="383">
        <f t="shared" si="40"/>
        <v>14.378619760809816</v>
      </c>
      <c r="BS32" s="383">
        <f t="shared" si="41"/>
        <v>4.5722640586825944</v>
      </c>
      <c r="BT32" s="383">
        <f t="shared" si="42"/>
        <v>23.030507372789245</v>
      </c>
      <c r="BU32" s="383">
        <f t="shared" si="43"/>
        <v>4.3217345211375147</v>
      </c>
      <c r="BV32" s="383">
        <f t="shared" si="44"/>
        <v>48.816478129949736</v>
      </c>
      <c r="BW32" s="383">
        <f t="shared" si="94"/>
        <v>0</v>
      </c>
      <c r="BX32" s="385">
        <f t="shared" si="45"/>
        <v>95.119603843368907</v>
      </c>
      <c r="BY32" s="385"/>
      <c r="CA32" s="383">
        <f t="shared" si="46"/>
        <v>16.932864586230373</v>
      </c>
      <c r="CB32" s="383">
        <f t="shared" si="47"/>
        <v>5.3084651190737979</v>
      </c>
      <c r="CC32" s="383">
        <f t="shared" si="48"/>
        <v>27.563168223950335</v>
      </c>
      <c r="CD32" s="383">
        <f t="shared" si="49"/>
        <v>5.0175966796558589</v>
      </c>
      <c r="CE32" s="383">
        <f t="shared" si="50"/>
        <v>56.197473907117889</v>
      </c>
      <c r="CF32" s="383">
        <f t="shared" si="51"/>
        <v>0</v>
      </c>
      <c r="CG32" s="383">
        <f t="shared" si="52"/>
        <v>111.01956851602826</v>
      </c>
      <c r="CH32" s="383"/>
      <c r="CI32" s="398"/>
      <c r="CJ32" s="383">
        <f t="shared" si="53"/>
        <v>14.543497696980431</v>
      </c>
      <c r="CK32" s="383">
        <f t="shared" si="54"/>
        <v>4.6246936711324205</v>
      </c>
      <c r="CL32" s="383">
        <f t="shared" si="55"/>
        <v>23.207853242783212</v>
      </c>
      <c r="CM32" s="383">
        <f t="shared" si="56"/>
        <v>4.3712913409419176</v>
      </c>
      <c r="CN32" s="383">
        <f t="shared" si="57"/>
        <v>49.175771909587013</v>
      </c>
      <c r="CO32" s="383">
        <f t="shared" si="58"/>
        <v>0</v>
      </c>
      <c r="CP32" s="383">
        <f t="shared" si="95"/>
        <v>95.923107861424995</v>
      </c>
      <c r="CR32" s="377">
        <f t="shared" si="59"/>
        <v>8.4920359181427131E-3</v>
      </c>
      <c r="CS32" s="377">
        <f t="shared" si="60"/>
        <v>4.5506847255460513E-4</v>
      </c>
      <c r="CT32" s="377">
        <f t="shared" si="61"/>
        <v>9.0165917251093814E-3</v>
      </c>
      <c r="CU32" s="377">
        <f t="shared" si="62"/>
        <v>1.0696561260727645E-4</v>
      </c>
      <c r="CV32" s="377">
        <f t="shared" si="63"/>
        <v>3.3882314407309303E-3</v>
      </c>
      <c r="CW32" s="377">
        <v>0</v>
      </c>
      <c r="CX32" s="377">
        <f t="shared" si="4"/>
        <v>2.1458893169144906E-2</v>
      </c>
      <c r="CY32" s="377"/>
      <c r="CZ32" s="454"/>
      <c r="DA32" s="377">
        <f t="shared" si="64"/>
        <v>7.2937395907964513E-3</v>
      </c>
      <c r="DB32" s="377">
        <f t="shared" si="65"/>
        <v>3.9645212650890978E-4</v>
      </c>
      <c r="DC32" s="377">
        <f t="shared" si="66"/>
        <v>7.5914175373666968E-3</v>
      </c>
      <c r="DD32" s="377">
        <f t="shared" si="67"/>
        <v>9.318761271996152E-5</v>
      </c>
      <c r="DE32" s="377">
        <f t="shared" si="68"/>
        <v>2.9647810100895656E-3</v>
      </c>
      <c r="DF32" s="377">
        <v>0</v>
      </c>
      <c r="DG32" s="377">
        <f t="shared" si="69"/>
        <v>1.8339577877481583E-2</v>
      </c>
      <c r="DJ32" s="377">
        <f t="shared" si="70"/>
        <v>8.589413091985668E-3</v>
      </c>
      <c r="DK32" s="377">
        <f t="shared" si="71"/>
        <v>4.6028668903290871E-4</v>
      </c>
      <c r="DL32" s="377">
        <f t="shared" si="72"/>
        <v>9.0854932222599744E-3</v>
      </c>
      <c r="DM32" s="377">
        <f t="shared" si="73"/>
        <v>1.0819217466547778E-4</v>
      </c>
      <c r="DN32" s="377">
        <f t="shared" si="74"/>
        <v>3.4130525149991715E-3</v>
      </c>
      <c r="DO32" s="377">
        <f t="shared" si="75"/>
        <v>0</v>
      </c>
      <c r="DP32" s="377">
        <f t="shared" si="96"/>
        <v>2.16564376929432E-2</v>
      </c>
      <c r="DQ32" s="454"/>
      <c r="DS32" s="377">
        <f t="shared" si="76"/>
        <v>7.3773760420484807E-3</v>
      </c>
      <c r="DT32" s="377">
        <f t="shared" si="77"/>
        <v>4.0099819626363009E-4</v>
      </c>
      <c r="DU32" s="377">
        <f t="shared" si="78"/>
        <v>7.6498750661505585E-3</v>
      </c>
      <c r="DV32" s="377">
        <f t="shared" si="79"/>
        <v>9.4256184079210601E-5</v>
      </c>
      <c r="DW32" s="377">
        <f t="shared" si="80"/>
        <v>2.9866020716597238E-3</v>
      </c>
      <c r="DX32" s="377">
        <f t="shared" si="81"/>
        <v>0</v>
      </c>
      <c r="DY32" s="402">
        <f t="shared" si="97"/>
        <v>1.8509107560201604E-2</v>
      </c>
    </row>
    <row r="33" spans="2:129" x14ac:dyDescent="0.15">
      <c r="B33" s="461" t="s">
        <v>588</v>
      </c>
      <c r="C33" s="239">
        <v>24</v>
      </c>
      <c r="D33" s="239">
        <v>86</v>
      </c>
      <c r="E33" s="457">
        <f t="shared" si="5"/>
        <v>4.2999999999999997E-2</v>
      </c>
      <c r="F33" s="378">
        <v>1.12E-2</v>
      </c>
      <c r="G33" s="377">
        <f t="shared" si="6"/>
        <v>0.25492999999999999</v>
      </c>
      <c r="H33" s="377">
        <f t="shared" si="7"/>
        <v>0.57359249999999995</v>
      </c>
      <c r="I33" s="377">
        <f t="shared" si="8"/>
        <v>0.38239499999999998</v>
      </c>
      <c r="J33" s="377">
        <f t="shared" si="9"/>
        <v>0.60290945000000007</v>
      </c>
      <c r="K33" s="377">
        <f t="shared" si="10"/>
        <v>0.2957188</v>
      </c>
      <c r="L33" s="377"/>
      <c r="N33" s="377">
        <f t="shared" si="82"/>
        <v>2.3006752893630664E-2</v>
      </c>
      <c r="O33" s="377">
        <f t="shared" si="83"/>
        <v>1.3782573358486487E-3</v>
      </c>
      <c r="P33" s="377">
        <f t="shared" si="84"/>
        <v>2.3869297047431758E-2</v>
      </c>
      <c r="Q33" s="377">
        <f t="shared" si="85"/>
        <v>3.5898795724429919E-4</v>
      </c>
      <c r="R33" s="377">
        <f t="shared" si="86"/>
        <v>1.148862260947224E-2</v>
      </c>
      <c r="S33" s="377">
        <f t="shared" si="87"/>
        <v>0.93989808215637294</v>
      </c>
      <c r="T33" s="377">
        <f t="shared" si="0"/>
        <v>1.0000000000000004</v>
      </c>
      <c r="U33" s="377">
        <f t="shared" si="1"/>
        <v>6.010191784362761E-2</v>
      </c>
      <c r="V33" s="390"/>
      <c r="W33" s="377"/>
      <c r="X33" s="377">
        <f t="shared" si="11"/>
        <v>1.945071413262664E-2</v>
      </c>
      <c r="Y33" s="377">
        <f t="shared" si="12"/>
        <v>1.1837738551373836E-3</v>
      </c>
      <c r="Z33" s="377">
        <f t="shared" si="13"/>
        <v>1.9599396757673367E-2</v>
      </c>
      <c r="AA33" s="377">
        <f t="shared" si="14"/>
        <v>3.0833179482648134E-4</v>
      </c>
      <c r="AB33" s="377">
        <f t="shared" si="15"/>
        <v>9.8611971263019987E-3</v>
      </c>
      <c r="AC33" s="377">
        <f t="shared" si="16"/>
        <v>0.94959658633343469</v>
      </c>
      <c r="AD33" s="377">
        <f t="shared" si="17"/>
        <v>1.0000000000000004</v>
      </c>
      <c r="AE33" s="377">
        <f t="shared" si="18"/>
        <v>5.0403413666565873E-2</v>
      </c>
      <c r="AF33" s="377"/>
      <c r="AG33" s="390"/>
      <c r="AH33" s="377">
        <f t="shared" si="19"/>
        <v>0.57939537704999999</v>
      </c>
      <c r="AI33" s="377">
        <f t="shared" si="20"/>
        <v>0.53604394147500001</v>
      </c>
      <c r="AJ33" s="377">
        <f t="shared" si="21"/>
        <v>0.56494489852499996</v>
      </c>
      <c r="AK33" s="377">
        <f t="shared" si="22"/>
        <v>0.48374697157500002</v>
      </c>
      <c r="AL33" s="377">
        <f t="shared" si="23"/>
        <v>0.48374697157500002</v>
      </c>
      <c r="AM33" s="377">
        <v>0</v>
      </c>
      <c r="AN33" s="382"/>
      <c r="AP33" s="377">
        <f t="shared" si="24"/>
        <v>2.3270568614345954E-2</v>
      </c>
      <c r="AQ33" s="377">
        <f t="shared" si="25"/>
        <v>1.3940616500893043E-3</v>
      </c>
      <c r="AR33" s="377">
        <f t="shared" si="26"/>
        <v>2.4055155741440515E-2</v>
      </c>
      <c r="AS33" s="377">
        <f t="shared" si="27"/>
        <v>3.6310442979070248E-4</v>
      </c>
      <c r="AT33" s="377">
        <f t="shared" si="28"/>
        <v>1.157370714328077E-2</v>
      </c>
      <c r="AU33" s="377">
        <f t="shared" si="29"/>
        <v>0.93934340242105308</v>
      </c>
      <c r="AV33" s="377">
        <f t="shared" si="2"/>
        <v>1.0000000000000002</v>
      </c>
      <c r="AW33" s="377">
        <f t="shared" si="3"/>
        <v>6.0656597578947244E-2</v>
      </c>
      <c r="AX33" s="389"/>
      <c r="AY33" s="377">
        <f t="shared" si="88"/>
        <v>1.967375317646957E-2</v>
      </c>
      <c r="AZ33" s="377">
        <f t="shared" si="89"/>
        <v>1.1973480502530901E-3</v>
      </c>
      <c r="BA33" s="377">
        <f t="shared" si="90"/>
        <v>1.9753089273096672E-2</v>
      </c>
      <c r="BB33" s="377">
        <f t="shared" si="91"/>
        <v>3.118673991356886E-4</v>
      </c>
      <c r="BC33" s="377">
        <f t="shared" si="92"/>
        <v>9.9345184181660745E-3</v>
      </c>
      <c r="BD33" s="377">
        <f t="shared" si="93"/>
        <v>0.94912942368287911</v>
      </c>
      <c r="BE33" s="377">
        <f t="shared" si="31"/>
        <v>1.0000000000000002</v>
      </c>
      <c r="BF33" s="377">
        <f t="shared" si="32"/>
        <v>5.0870576317121094E-2</v>
      </c>
      <c r="BG33" s="452"/>
      <c r="BH33" s="453"/>
      <c r="BJ33" s="383">
        <f t="shared" si="33"/>
        <v>11.609991154729656</v>
      </c>
      <c r="BK33" s="383">
        <f t="shared" si="34"/>
        <v>3.7644873892277189</v>
      </c>
      <c r="BL33" s="383">
        <f t="shared" si="35"/>
        <v>18.074277141801261</v>
      </c>
      <c r="BM33" s="383">
        <f t="shared" si="36"/>
        <v>3.5582186189613663</v>
      </c>
      <c r="BN33" s="383">
        <f t="shared" si="37"/>
        <v>40.429152383032637</v>
      </c>
      <c r="BO33" s="383">
        <f t="shared" si="38"/>
        <v>0</v>
      </c>
      <c r="BP33" s="383">
        <f t="shared" si="39"/>
        <v>77.436126687752648</v>
      </c>
      <c r="BQ33" s="445"/>
      <c r="BR33" s="383">
        <f t="shared" si="40"/>
        <v>9.8154928718988668</v>
      </c>
      <c r="BS33" s="383">
        <f t="shared" si="41"/>
        <v>3.2332871615867265</v>
      </c>
      <c r="BT33" s="383">
        <f t="shared" si="42"/>
        <v>14.841028963122517</v>
      </c>
      <c r="BU33" s="383">
        <f t="shared" si="43"/>
        <v>3.056124616522311</v>
      </c>
      <c r="BV33" s="383">
        <f t="shared" si="44"/>
        <v>34.702144447645097</v>
      </c>
      <c r="BW33" s="383">
        <f t="shared" si="94"/>
        <v>0</v>
      </c>
      <c r="BX33" s="385">
        <f t="shared" si="45"/>
        <v>65.648078060775518</v>
      </c>
      <c r="BY33" s="385"/>
      <c r="CA33" s="383">
        <f t="shared" si="46"/>
        <v>11.743121553362792</v>
      </c>
      <c r="CB33" s="383">
        <f t="shared" si="47"/>
        <v>3.8076543219237133</v>
      </c>
      <c r="CC33" s="383">
        <f t="shared" si="48"/>
        <v>18.215012813155646</v>
      </c>
      <c r="CD33" s="383">
        <f t="shared" si="49"/>
        <v>3.5990202920077059</v>
      </c>
      <c r="CE33" s="383">
        <f t="shared" si="50"/>
        <v>40.728569963339282</v>
      </c>
      <c r="CF33" s="383">
        <f t="shared" si="51"/>
        <v>0</v>
      </c>
      <c r="CG33" s="383">
        <f t="shared" si="52"/>
        <v>78.093378943789133</v>
      </c>
      <c r="CH33" s="383"/>
      <c r="CI33" s="398"/>
      <c r="CJ33" s="383">
        <f t="shared" si="53"/>
        <v>9.9280459704672719</v>
      </c>
      <c r="CK33" s="383">
        <f t="shared" si="54"/>
        <v>3.2703628839521213</v>
      </c>
      <c r="CL33" s="383">
        <f t="shared" si="55"/>
        <v>14.957407803809</v>
      </c>
      <c r="CM33" s="383">
        <f t="shared" si="56"/>
        <v>3.0911688368880101</v>
      </c>
      <c r="CN33" s="383">
        <f t="shared" si="57"/>
        <v>34.960166473649288</v>
      </c>
      <c r="CO33" s="383">
        <f t="shared" si="58"/>
        <v>0</v>
      </c>
      <c r="CP33" s="383">
        <f t="shared" si="95"/>
        <v>66.207151968765686</v>
      </c>
      <c r="CR33" s="377">
        <f t="shared" si="59"/>
        <v>5.8379713397097768E-3</v>
      </c>
      <c r="CS33" s="377">
        <f t="shared" si="60"/>
        <v>3.2356557491052207E-4</v>
      </c>
      <c r="CT33" s="377">
        <f t="shared" si="61"/>
        <v>5.9057808255941228E-3</v>
      </c>
      <c r="CU33" s="377">
        <f t="shared" si="62"/>
        <v>7.605534557170751E-5</v>
      </c>
      <c r="CV33" s="377">
        <f t="shared" si="63"/>
        <v>2.4339846088812468E-3</v>
      </c>
      <c r="CW33" s="377">
        <v>0</v>
      </c>
      <c r="CX33" s="377">
        <f t="shared" si="4"/>
        <v>1.4577357694667375E-2</v>
      </c>
      <c r="CY33" s="377"/>
      <c r="CZ33" s="454"/>
      <c r="DA33" s="377">
        <f t="shared" si="64"/>
        <v>4.9356252995875352E-3</v>
      </c>
      <c r="DB33" s="377">
        <f t="shared" si="65"/>
        <v>2.7790780287465438E-4</v>
      </c>
      <c r="DC33" s="377">
        <f t="shared" si="66"/>
        <v>4.8493150566884082E-3</v>
      </c>
      <c r="DD33" s="377">
        <f t="shared" si="67"/>
        <v>6.5323308854938625E-5</v>
      </c>
      <c r="DE33" s="377">
        <f t="shared" si="68"/>
        <v>2.0891975345045857E-3</v>
      </c>
      <c r="DF33" s="377">
        <v>0</v>
      </c>
      <c r="DG33" s="377">
        <f t="shared" si="69"/>
        <v>1.2217369002510123E-2</v>
      </c>
      <c r="DJ33" s="377">
        <f t="shared" si="70"/>
        <v>5.9049146682021315E-3</v>
      </c>
      <c r="DK33" s="377">
        <f t="shared" si="71"/>
        <v>3.2727586317842053E-4</v>
      </c>
      <c r="DL33" s="377">
        <f t="shared" si="72"/>
        <v>5.951766290066148E-3</v>
      </c>
      <c r="DM33" s="377">
        <f t="shared" si="73"/>
        <v>7.6927463245114839E-5</v>
      </c>
      <c r="DN33" s="377">
        <f t="shared" si="74"/>
        <v>2.452010655412974E-3</v>
      </c>
      <c r="DO33" s="377">
        <f t="shared" si="75"/>
        <v>0</v>
      </c>
      <c r="DP33" s="377">
        <f t="shared" si="96"/>
        <v>1.471289494010479E-2</v>
      </c>
      <c r="DQ33" s="454"/>
      <c r="DS33" s="377">
        <f t="shared" si="76"/>
        <v>4.9922215325114688E-3</v>
      </c>
      <c r="DT33" s="377">
        <f t="shared" si="77"/>
        <v>2.8109453885807417E-4</v>
      </c>
      <c r="DU33" s="377">
        <f t="shared" si="78"/>
        <v>4.8873419122267428E-3</v>
      </c>
      <c r="DV33" s="377">
        <f t="shared" si="79"/>
        <v>6.6072363529657373E-5</v>
      </c>
      <c r="DW33" s="377">
        <f t="shared" si="80"/>
        <v>2.1047314154550583E-3</v>
      </c>
      <c r="DX33" s="377">
        <f t="shared" si="81"/>
        <v>0</v>
      </c>
      <c r="DY33" s="402">
        <f t="shared" si="97"/>
        <v>1.2331461762581002E-2</v>
      </c>
    </row>
    <row r="34" spans="2:129" x14ac:dyDescent="0.15">
      <c r="B34" s="461" t="s">
        <v>588</v>
      </c>
      <c r="C34" s="239">
        <v>25</v>
      </c>
      <c r="D34" s="239">
        <v>87</v>
      </c>
      <c r="E34" s="457">
        <f t="shared" si="5"/>
        <v>4.2999999999999997E-2</v>
      </c>
      <c r="F34" s="378">
        <v>1.12E-2</v>
      </c>
      <c r="G34" s="377">
        <f t="shared" si="6"/>
        <v>0.28508349999999999</v>
      </c>
      <c r="H34" s="377">
        <f t="shared" si="7"/>
        <v>0.64143787500000005</v>
      </c>
      <c r="I34" s="377">
        <f t="shared" si="8"/>
        <v>0.42762525000000001</v>
      </c>
      <c r="J34" s="377">
        <f t="shared" si="9"/>
        <v>0.67422247750000008</v>
      </c>
      <c r="K34" s="377">
        <f t="shared" si="10"/>
        <v>0.33069685999999998</v>
      </c>
      <c r="L34" s="377"/>
      <c r="N34" s="377">
        <f t="shared" si="82"/>
        <v>1.5894675371622619E-2</v>
      </c>
      <c r="O34" s="377">
        <f t="shared" si="83"/>
        <v>9.8929037442611846E-4</v>
      </c>
      <c r="P34" s="377">
        <f t="shared" si="84"/>
        <v>1.5329496467914974E-2</v>
      </c>
      <c r="Q34" s="377">
        <f t="shared" si="85"/>
        <v>2.5767563240866343E-4</v>
      </c>
      <c r="R34" s="377">
        <f t="shared" si="86"/>
        <v>8.2337716431317553E-3</v>
      </c>
      <c r="S34" s="377">
        <f t="shared" si="87"/>
        <v>0.95929509051049644</v>
      </c>
      <c r="T34" s="377">
        <f t="shared" si="0"/>
        <v>1.0000000000000007</v>
      </c>
      <c r="U34" s="377">
        <f t="shared" si="1"/>
        <v>4.0704909489504136E-2</v>
      </c>
      <c r="V34" s="390"/>
      <c r="W34" s="377"/>
      <c r="X34" s="377">
        <f t="shared" si="11"/>
        <v>1.3198274825898658E-2</v>
      </c>
      <c r="Y34" s="377">
        <f t="shared" si="12"/>
        <v>8.3638070770294557E-4</v>
      </c>
      <c r="Z34" s="377">
        <f t="shared" si="13"/>
        <v>1.2229217617629982E-2</v>
      </c>
      <c r="AA34" s="377">
        <f t="shared" si="14"/>
        <v>2.1784799828541838E-4</v>
      </c>
      <c r="AB34" s="377">
        <f t="shared" si="15"/>
        <v>6.9143028935287568E-3</v>
      </c>
      <c r="AC34" s="377">
        <f t="shared" si="16"/>
        <v>0.96660397595695491</v>
      </c>
      <c r="AD34" s="377">
        <f t="shared" si="17"/>
        <v>1.0000000000000007</v>
      </c>
      <c r="AE34" s="377">
        <f t="shared" si="18"/>
        <v>3.3396024043045765E-2</v>
      </c>
      <c r="AF34" s="377"/>
      <c r="AG34" s="390"/>
      <c r="AH34" s="377">
        <f t="shared" si="19"/>
        <v>0.57424360005000008</v>
      </c>
      <c r="AI34" s="377">
        <f t="shared" si="20"/>
        <v>0.53127762997500017</v>
      </c>
      <c r="AJ34" s="377">
        <f t="shared" si="21"/>
        <v>0.55992161002500018</v>
      </c>
      <c r="AK34" s="377">
        <f t="shared" si="22"/>
        <v>0.47944566607500005</v>
      </c>
      <c r="AL34" s="377">
        <f t="shared" si="23"/>
        <v>0.47944566607500005</v>
      </c>
      <c r="AM34" s="377">
        <v>0</v>
      </c>
      <c r="AN34" s="382"/>
      <c r="AP34" s="377">
        <f t="shared" si="24"/>
        <v>1.607693773859319E-2</v>
      </c>
      <c r="AQ34" s="377">
        <f t="shared" si="25"/>
        <v>1.0006344504168759E-3</v>
      </c>
      <c r="AR34" s="377">
        <f t="shared" si="26"/>
        <v>1.5451022804752825E-2</v>
      </c>
      <c r="AS34" s="377">
        <f t="shared" si="27"/>
        <v>2.6063036848067471E-4</v>
      </c>
      <c r="AT34" s="377">
        <f t="shared" si="28"/>
        <v>8.2953296930513808E-3</v>
      </c>
      <c r="AU34" s="377">
        <f t="shared" si="29"/>
        <v>0.95891544494470526</v>
      </c>
      <c r="AV34" s="377">
        <f t="shared" si="2"/>
        <v>1.0000000000000002</v>
      </c>
      <c r="AW34" s="377">
        <f t="shared" si="3"/>
        <v>4.1084555055294944E-2</v>
      </c>
      <c r="AX34" s="389"/>
      <c r="AY34" s="377">
        <f t="shared" si="88"/>
        <v>1.3349617885977199E-2</v>
      </c>
      <c r="AZ34" s="377">
        <f t="shared" si="89"/>
        <v>8.4597138658819152E-4</v>
      </c>
      <c r="BA34" s="377">
        <f t="shared" si="90"/>
        <v>1.2326793867378602E-2</v>
      </c>
      <c r="BB34" s="377">
        <f t="shared" si="91"/>
        <v>2.2034603557645921E-4</v>
      </c>
      <c r="BC34" s="377">
        <f t="shared" si="92"/>
        <v>6.9661637098389004E-3</v>
      </c>
      <c r="BD34" s="377">
        <f t="shared" si="93"/>
        <v>0.96629110711464095</v>
      </c>
      <c r="BE34" s="377">
        <f t="shared" si="31"/>
        <v>1.0000000000000002</v>
      </c>
      <c r="BF34" s="377">
        <f t="shared" si="32"/>
        <v>3.3708892885359346E-2</v>
      </c>
      <c r="BG34" s="452"/>
      <c r="BH34" s="453"/>
      <c r="BJ34" s="383">
        <f t="shared" si="33"/>
        <v>7.7497532261527331</v>
      </c>
      <c r="BK34" s="383">
        <f t="shared" si="34"/>
        <v>2.6107120134741391</v>
      </c>
      <c r="BL34" s="383">
        <f t="shared" si="35"/>
        <v>11.215247134728282</v>
      </c>
      <c r="BM34" s="383">
        <f t="shared" si="36"/>
        <v>2.4676624290659479</v>
      </c>
      <c r="BN34" s="383">
        <f t="shared" si="37"/>
        <v>27.995300978026627</v>
      </c>
      <c r="BO34" s="383">
        <f t="shared" si="38"/>
        <v>0</v>
      </c>
      <c r="BP34" s="383">
        <f t="shared" si="39"/>
        <v>52.038675781447729</v>
      </c>
      <c r="BQ34" s="445"/>
      <c r="BR34" s="383">
        <f t="shared" si="40"/>
        <v>6.435071526800038</v>
      </c>
      <c r="BS34" s="383">
        <f t="shared" si="41"/>
        <v>2.2071873111115092</v>
      </c>
      <c r="BT34" s="383">
        <f t="shared" si="42"/>
        <v>8.9470452035498678</v>
      </c>
      <c r="BU34" s="383">
        <f t="shared" si="43"/>
        <v>2.0862481857173694</v>
      </c>
      <c r="BV34" s="383">
        <f t="shared" si="44"/>
        <v>23.509030727011201</v>
      </c>
      <c r="BW34" s="383">
        <f t="shared" si="94"/>
        <v>0</v>
      </c>
      <c r="BX34" s="385">
        <f t="shared" si="45"/>
        <v>43.184582954189992</v>
      </c>
      <c r="BY34" s="385"/>
      <c r="CA34" s="383">
        <f t="shared" si="46"/>
        <v>7.8386187319533853</v>
      </c>
      <c r="CB34" s="383">
        <f t="shared" si="47"/>
        <v>2.6406487400778063</v>
      </c>
      <c r="CC34" s="383">
        <f t="shared" si="48"/>
        <v>11.304157289335604</v>
      </c>
      <c r="CD34" s="383">
        <f t="shared" si="49"/>
        <v>2.4959588229645546</v>
      </c>
      <c r="CE34" s="383">
        <f t="shared" si="50"/>
        <v>28.204601916868892</v>
      </c>
      <c r="CF34" s="383">
        <f t="shared" si="51"/>
        <v>0</v>
      </c>
      <c r="CG34" s="383">
        <f t="shared" si="52"/>
        <v>52.483985501200237</v>
      </c>
      <c r="CH34" s="383"/>
      <c r="CI34" s="398"/>
      <c r="CJ34" s="383">
        <f t="shared" si="53"/>
        <v>6.5088617326820328</v>
      </c>
      <c r="CK34" s="383">
        <f t="shared" si="54"/>
        <v>2.2324968675676802</v>
      </c>
      <c r="CL34" s="383">
        <f t="shared" si="55"/>
        <v>9.0184331814721173</v>
      </c>
      <c r="CM34" s="383">
        <f t="shared" si="56"/>
        <v>2.1101709474930379</v>
      </c>
      <c r="CN34" s="383">
        <f t="shared" si="57"/>
        <v>23.685360509338807</v>
      </c>
      <c r="CO34" s="383">
        <f t="shared" si="58"/>
        <v>0</v>
      </c>
      <c r="CP34" s="383">
        <f t="shared" si="95"/>
        <v>43.555323238553676</v>
      </c>
      <c r="CR34" s="377">
        <f t="shared" si="59"/>
        <v>3.8622384339292329E-3</v>
      </c>
      <c r="CS34" s="377">
        <f t="shared" si="60"/>
        <v>2.2240091441268824E-4</v>
      </c>
      <c r="CT34" s="377">
        <f t="shared" si="61"/>
        <v>3.6320044685716831E-3</v>
      </c>
      <c r="CU34" s="377">
        <f t="shared" si="62"/>
        <v>5.2276199054235963E-5</v>
      </c>
      <c r="CV34" s="377">
        <f t="shared" si="63"/>
        <v>1.6704345745073544E-3</v>
      </c>
      <c r="CW34" s="377">
        <v>0</v>
      </c>
      <c r="CX34" s="377">
        <f t="shared" si="4"/>
        <v>9.4393545904751953E-3</v>
      </c>
      <c r="CY34" s="377"/>
      <c r="CZ34" s="454"/>
      <c r="DA34" s="377">
        <f t="shared" si="64"/>
        <v>3.2070415470802183E-3</v>
      </c>
      <c r="DB34" s="377">
        <f t="shared" si="65"/>
        <v>1.8802551707649114E-4</v>
      </c>
      <c r="DC34" s="377">
        <f t="shared" si="66"/>
        <v>2.8974580559337137E-3</v>
      </c>
      <c r="DD34" s="377">
        <f t="shared" si="67"/>
        <v>4.4196128347417982E-5</v>
      </c>
      <c r="DE34" s="377">
        <f t="shared" si="68"/>
        <v>1.4027460455016483E-3</v>
      </c>
      <c r="DF34" s="377">
        <v>0</v>
      </c>
      <c r="DG34" s="377">
        <f t="shared" si="69"/>
        <v>7.7394672939394889E-3</v>
      </c>
      <c r="DJ34" s="377">
        <f t="shared" si="70"/>
        <v>3.9065262663205398E-3</v>
      </c>
      <c r="DK34" s="377">
        <f t="shared" si="71"/>
        <v>2.2495115945573243E-4</v>
      </c>
      <c r="DL34" s="377">
        <f t="shared" si="72"/>
        <v>3.6607975994724963E-3</v>
      </c>
      <c r="DM34" s="377">
        <f t="shared" si="73"/>
        <v>5.2875644060383162E-5</v>
      </c>
      <c r="DN34" s="377">
        <f t="shared" si="74"/>
        <v>1.6829232248345427E-3</v>
      </c>
      <c r="DO34" s="377">
        <f t="shared" si="75"/>
        <v>0</v>
      </c>
      <c r="DP34" s="377">
        <f t="shared" si="96"/>
        <v>9.5280738941436946E-3</v>
      </c>
      <c r="DQ34" s="454"/>
      <c r="DS34" s="377">
        <f t="shared" si="76"/>
        <v>3.243816314080957E-3</v>
      </c>
      <c r="DT34" s="377">
        <f t="shared" si="77"/>
        <v>1.9018158349445711E-4</v>
      </c>
      <c r="DU34" s="377">
        <f t="shared" si="78"/>
        <v>2.9205767132135024E-3</v>
      </c>
      <c r="DV34" s="377">
        <f t="shared" si="79"/>
        <v>4.4702920136190033E-5</v>
      </c>
      <c r="DW34" s="377">
        <f t="shared" si="80"/>
        <v>1.4132673599589057E-3</v>
      </c>
      <c r="DX34" s="377">
        <f t="shared" si="81"/>
        <v>0</v>
      </c>
      <c r="DY34" s="402">
        <f t="shared" si="97"/>
        <v>7.8125448908840118E-3</v>
      </c>
    </row>
    <row r="35" spans="2:129" x14ac:dyDescent="0.15">
      <c r="B35" s="461" t="s">
        <v>588</v>
      </c>
      <c r="C35" s="239">
        <v>26</v>
      </c>
      <c r="D35" s="239">
        <v>88</v>
      </c>
      <c r="E35" s="457">
        <f t="shared" si="5"/>
        <v>4.2999999999999997E-2</v>
      </c>
      <c r="F35" s="378">
        <v>1.12E-2</v>
      </c>
      <c r="G35" s="377">
        <f t="shared" si="6"/>
        <v>0.31794299999999998</v>
      </c>
      <c r="H35" s="377">
        <f t="shared" si="7"/>
        <v>0.70650587499999995</v>
      </c>
      <c r="I35" s="377">
        <f t="shared" si="8"/>
        <v>0.47691450000000002</v>
      </c>
      <c r="J35" s="377">
        <f t="shared" si="9"/>
        <v>0.72983839750000001</v>
      </c>
      <c r="K35" s="377">
        <f t="shared" si="10"/>
        <v>0.36881387999999993</v>
      </c>
      <c r="L35" s="377"/>
      <c r="N35" s="377">
        <f t="shared" si="82"/>
        <v>1.0501874280174697E-2</v>
      </c>
      <c r="O35" s="377">
        <f t="shared" si="83"/>
        <v>6.8347104097977258E-4</v>
      </c>
      <c r="P35" s="377">
        <f t="shared" si="84"/>
        <v>9.128938767344991E-3</v>
      </c>
      <c r="Q35" s="377">
        <f t="shared" si="85"/>
        <v>1.7802036416217332E-4</v>
      </c>
      <c r="R35" s="377">
        <f t="shared" si="86"/>
        <v>5.5948341439257592E-3</v>
      </c>
      <c r="S35" s="377">
        <f t="shared" si="87"/>
        <v>0.97391286140341327</v>
      </c>
      <c r="T35" s="377">
        <f t="shared" si="0"/>
        <v>1.0000000000000007</v>
      </c>
      <c r="U35" s="377">
        <f t="shared" si="1"/>
        <v>2.6087138596587393E-2</v>
      </c>
      <c r="V35" s="390"/>
      <c r="W35" s="377"/>
      <c r="X35" s="377">
        <f t="shared" si="11"/>
        <v>8.5477747800511705E-3</v>
      </c>
      <c r="Y35" s="377">
        <f t="shared" si="12"/>
        <v>5.6752581751364222E-4</v>
      </c>
      <c r="Z35" s="377">
        <f t="shared" si="13"/>
        <v>7.0523745010331136E-3</v>
      </c>
      <c r="AA35" s="377">
        <f t="shared" si="14"/>
        <v>1.4782067805006497E-4</v>
      </c>
      <c r="AB35" s="377">
        <f t="shared" si="15"/>
        <v>4.5871550330667341E-3</v>
      </c>
      <c r="AC35" s="377">
        <f t="shared" si="16"/>
        <v>0.9790973491902859</v>
      </c>
      <c r="AD35" s="377">
        <f t="shared" si="17"/>
        <v>1.0000000000000007</v>
      </c>
      <c r="AE35" s="377">
        <f t="shared" si="18"/>
        <v>2.0902650809714728E-2</v>
      </c>
      <c r="AF35" s="377"/>
      <c r="AG35" s="390"/>
      <c r="AH35" s="377">
        <f t="shared" si="19"/>
        <v>0.56903591425</v>
      </c>
      <c r="AI35" s="377">
        <f t="shared" si="20"/>
        <v>0.52645959287499999</v>
      </c>
      <c r="AJ35" s="377">
        <f t="shared" si="21"/>
        <v>0.55484380712499992</v>
      </c>
      <c r="AK35" s="377">
        <f t="shared" si="22"/>
        <v>0.47509768137499997</v>
      </c>
      <c r="AL35" s="377">
        <f t="shared" si="23"/>
        <v>0.47509768137499997</v>
      </c>
      <c r="AM35" s="377">
        <v>0</v>
      </c>
      <c r="AN35" s="382"/>
      <c r="AP35" s="377">
        <f t="shared" si="24"/>
        <v>1.0622298033361207E-2</v>
      </c>
      <c r="AQ35" s="377">
        <f t="shared" si="25"/>
        <v>6.9130832275950712E-4</v>
      </c>
      <c r="AR35" s="377">
        <f t="shared" si="26"/>
        <v>9.2025649300043789E-3</v>
      </c>
      <c r="AS35" s="377">
        <f t="shared" si="27"/>
        <v>1.8006170267224371E-4</v>
      </c>
      <c r="AT35" s="377">
        <f t="shared" si="28"/>
        <v>5.6369977266264209E-3</v>
      </c>
      <c r="AU35" s="377">
        <f t="shared" si="29"/>
        <v>0.97366676928457652</v>
      </c>
      <c r="AV35" s="377">
        <f t="shared" si="2"/>
        <v>1.0000000000000002</v>
      </c>
      <c r="AW35" s="377">
        <f t="shared" si="3"/>
        <v>2.6333230715423754E-2</v>
      </c>
      <c r="AX35" s="389"/>
      <c r="AY35" s="377">
        <f t="shared" si="88"/>
        <v>8.6457911048466365E-3</v>
      </c>
      <c r="AZ35" s="377">
        <f t="shared" si="89"/>
        <v>5.7403356909701945E-4</v>
      </c>
      <c r="BA35" s="377">
        <f t="shared" si="90"/>
        <v>7.1095940694958521E-3</v>
      </c>
      <c r="BB35" s="377">
        <f t="shared" si="91"/>
        <v>1.495157203229446E-4</v>
      </c>
      <c r="BC35" s="377">
        <f t="shared" si="92"/>
        <v>4.621819104143692E-3</v>
      </c>
      <c r="BD35" s="377">
        <f t="shared" si="93"/>
        <v>0.97889924643209414</v>
      </c>
      <c r="BE35" s="377">
        <f t="shared" si="31"/>
        <v>1.0000000000000002</v>
      </c>
      <c r="BF35" s="377">
        <f t="shared" si="32"/>
        <v>2.1100753567906146E-2</v>
      </c>
      <c r="BG35" s="452"/>
      <c r="BH35" s="453"/>
      <c r="BJ35" s="383">
        <f t="shared" si="33"/>
        <v>4.9472365482583021</v>
      </c>
      <c r="BK35" s="383">
        <f t="shared" si="34"/>
        <v>1.7426691871969846</v>
      </c>
      <c r="BL35" s="383">
        <f t="shared" si="35"/>
        <v>6.4529886689579241</v>
      </c>
      <c r="BM35" s="383">
        <f t="shared" si="36"/>
        <v>1.6471825530133251</v>
      </c>
      <c r="BN35" s="383">
        <f t="shared" si="37"/>
        <v>18.379478720768869</v>
      </c>
      <c r="BO35" s="383">
        <f t="shared" si="38"/>
        <v>0</v>
      </c>
      <c r="BP35" s="383">
        <f t="shared" si="39"/>
        <v>33.169555678195408</v>
      </c>
      <c r="BQ35" s="445"/>
      <c r="BR35" s="383">
        <f t="shared" si="40"/>
        <v>4.0266968228690576</v>
      </c>
      <c r="BS35" s="383">
        <f t="shared" si="41"/>
        <v>1.4470397366098104</v>
      </c>
      <c r="BT35" s="383">
        <f t="shared" si="42"/>
        <v>4.9851241096285746</v>
      </c>
      <c r="BU35" s="383">
        <f t="shared" si="43"/>
        <v>1.3677516221506769</v>
      </c>
      <c r="BV35" s="383">
        <f t="shared" si="44"/>
        <v>15.069172052338965</v>
      </c>
      <c r="BW35" s="383">
        <f t="shared" si="94"/>
        <v>0</v>
      </c>
      <c r="BX35" s="385">
        <f t="shared" si="45"/>
        <v>26.895784343597086</v>
      </c>
      <c r="BY35" s="385"/>
      <c r="CA35" s="383">
        <f t="shared" si="46"/>
        <v>5.0039659260006557</v>
      </c>
      <c r="CB35" s="383">
        <f t="shared" si="47"/>
        <v>1.7626521691377335</v>
      </c>
      <c r="CC35" s="383">
        <f t="shared" si="48"/>
        <v>6.5050329213609945</v>
      </c>
      <c r="CD35" s="383">
        <f t="shared" si="49"/>
        <v>1.6660706009869772</v>
      </c>
      <c r="CE35" s="383">
        <f t="shared" si="50"/>
        <v>18.517989470346592</v>
      </c>
      <c r="CF35" s="383">
        <f t="shared" si="51"/>
        <v>0</v>
      </c>
      <c r="CG35" s="383">
        <f t="shared" si="52"/>
        <v>33.455711087832952</v>
      </c>
      <c r="CH35" s="383"/>
      <c r="CI35" s="398"/>
      <c r="CJ35" s="383">
        <f t="shared" si="53"/>
        <v>4.0728704802008249</v>
      </c>
      <c r="CK35" s="383">
        <f t="shared" si="54"/>
        <v>1.4636327705239123</v>
      </c>
      <c r="CL35" s="383">
        <f t="shared" si="55"/>
        <v>5.0255710045352977</v>
      </c>
      <c r="CM35" s="383">
        <f t="shared" si="56"/>
        <v>1.3834354686119945</v>
      </c>
      <c r="CN35" s="383">
        <f t="shared" si="57"/>
        <v>15.183046304970006</v>
      </c>
      <c r="CO35" s="383">
        <f t="shared" si="58"/>
        <v>0</v>
      </c>
      <c r="CP35" s="383">
        <f t="shared" si="95"/>
        <v>27.128556028842034</v>
      </c>
      <c r="CR35" s="377">
        <f t="shared" si="59"/>
        <v>2.4431908754389865E-3</v>
      </c>
      <c r="CS35" s="377">
        <f t="shared" si="60"/>
        <v>1.4710792408719029E-4</v>
      </c>
      <c r="CT35" s="377">
        <f t="shared" si="61"/>
        <v>2.0708180531655569E-3</v>
      </c>
      <c r="CU35" s="377">
        <f t="shared" si="62"/>
        <v>3.457828913314331E-5</v>
      </c>
      <c r="CV35" s="377">
        <f t="shared" si="63"/>
        <v>1.086728440260963E-3</v>
      </c>
      <c r="CW35" s="377">
        <v>0</v>
      </c>
      <c r="CX35" s="377">
        <f t="shared" si="4"/>
        <v>5.7824235820858397E-3</v>
      </c>
      <c r="CY35" s="377"/>
      <c r="CZ35" s="454"/>
      <c r="DA35" s="377">
        <f t="shared" si="64"/>
        <v>1.9885826844597411E-3</v>
      </c>
      <c r="DB35" s="377">
        <f t="shared" si="65"/>
        <v>1.2215227840617219E-4</v>
      </c>
      <c r="DC35" s="377">
        <f t="shared" si="66"/>
        <v>1.5997680351043924E-3</v>
      </c>
      <c r="DD35" s="377">
        <f t="shared" si="67"/>
        <v>2.8712367652590896E-5</v>
      </c>
      <c r="DE35" s="377">
        <f t="shared" si="68"/>
        <v>8.9099903698342518E-4</v>
      </c>
      <c r="DF35" s="377">
        <v>0</v>
      </c>
      <c r="DG35" s="377">
        <f t="shared" si="69"/>
        <v>4.6302144026063212E-3</v>
      </c>
      <c r="DJ35" s="377">
        <f t="shared" si="70"/>
        <v>2.4712066569197093E-3</v>
      </c>
      <c r="DK35" s="377">
        <f t="shared" si="71"/>
        <v>1.4879479329448013E-4</v>
      </c>
      <c r="DL35" s="377">
        <f t="shared" si="72"/>
        <v>2.0875194891929023E-3</v>
      </c>
      <c r="DM35" s="377">
        <f t="shared" si="73"/>
        <v>3.4974794294516479E-5</v>
      </c>
      <c r="DN35" s="377">
        <f t="shared" si="74"/>
        <v>1.0949182030466659E-3</v>
      </c>
      <c r="DO35" s="377">
        <f t="shared" si="75"/>
        <v>0</v>
      </c>
      <c r="DP35" s="377">
        <f t="shared" si="96"/>
        <v>5.8374139367482741E-3</v>
      </c>
      <c r="DQ35" s="454"/>
      <c r="DS35" s="377">
        <f t="shared" si="76"/>
        <v>2.0113855274566735E-3</v>
      </c>
      <c r="DT35" s="377">
        <f t="shared" si="77"/>
        <v>1.2355298416911626E-4</v>
      </c>
      <c r="DU35" s="377">
        <f t="shared" si="78"/>
        <v>1.6127477820812078E-3</v>
      </c>
      <c r="DV35" s="377">
        <f t="shared" si="79"/>
        <v>2.9041608984504689E-5</v>
      </c>
      <c r="DW35" s="377">
        <f t="shared" si="80"/>
        <v>8.9773211090938881E-4</v>
      </c>
      <c r="DX35" s="377">
        <f t="shared" si="81"/>
        <v>0</v>
      </c>
      <c r="DY35" s="402">
        <f t="shared" si="97"/>
        <v>4.6744600136008913E-3</v>
      </c>
    </row>
    <row r="36" spans="2:129" x14ac:dyDescent="0.15">
      <c r="B36" s="461" t="s">
        <v>588</v>
      </c>
      <c r="C36" s="239">
        <v>27</v>
      </c>
      <c r="D36" s="239">
        <v>89</v>
      </c>
      <c r="E36" s="457">
        <f t="shared" si="5"/>
        <v>4.2999999999999997E-2</v>
      </c>
      <c r="F36" s="378">
        <v>1.12E-2</v>
      </c>
      <c r="G36" s="377">
        <f t="shared" si="6"/>
        <v>0.35146500000000003</v>
      </c>
      <c r="H36" s="377">
        <f t="shared" si="7"/>
        <v>0.75814337499999995</v>
      </c>
      <c r="I36" s="377">
        <f t="shared" si="8"/>
        <v>0.52719749999999999</v>
      </c>
      <c r="J36" s="377">
        <f t="shared" si="9"/>
        <v>0.7841151475</v>
      </c>
      <c r="K36" s="377">
        <f t="shared" si="10"/>
        <v>0.40769939999999993</v>
      </c>
      <c r="L36" s="377"/>
      <c r="N36" s="377">
        <f t="shared" si="82"/>
        <v>6.5936752799276455E-3</v>
      </c>
      <c r="O36" s="377">
        <f t="shared" si="83"/>
        <v>4.5158059404751196E-4</v>
      </c>
      <c r="P36" s="377">
        <f t="shared" si="84"/>
        <v>4.9758102347212362E-3</v>
      </c>
      <c r="Q36" s="377">
        <f t="shared" si="85"/>
        <v>1.1762099193795661E-4</v>
      </c>
      <c r="R36" s="377">
        <f t="shared" si="86"/>
        <v>3.5794759222077081E-3</v>
      </c>
      <c r="S36" s="377">
        <f t="shared" si="87"/>
        <v>0.98428183697715854</v>
      </c>
      <c r="T36" s="377">
        <f t="shared" si="0"/>
        <v>1.0000000000000007</v>
      </c>
      <c r="U36" s="377">
        <f t="shared" si="1"/>
        <v>1.5718163022842055E-2</v>
      </c>
      <c r="V36" s="390"/>
      <c r="W36" s="377"/>
      <c r="X36" s="377">
        <f t="shared" si="11"/>
        <v>5.2562636387117213E-3</v>
      </c>
      <c r="Y36" s="377">
        <f t="shared" si="12"/>
        <v>3.6755431554220036E-4</v>
      </c>
      <c r="Z36" s="377">
        <f t="shared" si="13"/>
        <v>3.7188017558074252E-3</v>
      </c>
      <c r="AA36" s="377">
        <f t="shared" si="14"/>
        <v>9.5735077536573113E-5</v>
      </c>
      <c r="AB36" s="377">
        <f t="shared" si="15"/>
        <v>2.8624971245561582E-3</v>
      </c>
      <c r="AC36" s="377">
        <f t="shared" si="16"/>
        <v>0.98769914808784653</v>
      </c>
      <c r="AD36" s="377">
        <f t="shared" si="17"/>
        <v>1.0000000000000007</v>
      </c>
      <c r="AE36" s="377">
        <f t="shared" si="18"/>
        <v>1.2300851912154079E-2</v>
      </c>
      <c r="AF36" s="377"/>
      <c r="AG36" s="390"/>
      <c r="AH36" s="377">
        <f t="shared" si="19"/>
        <v>0.56377231964999996</v>
      </c>
      <c r="AI36" s="377">
        <f t="shared" si="20"/>
        <v>0.52158983017500005</v>
      </c>
      <c r="AJ36" s="377">
        <f t="shared" si="21"/>
        <v>0.54971148982500007</v>
      </c>
      <c r="AK36" s="377">
        <f t="shared" si="22"/>
        <v>0.47070301747499999</v>
      </c>
      <c r="AL36" s="377">
        <f t="shared" si="23"/>
        <v>0.47070301747499999</v>
      </c>
      <c r="AM36" s="377">
        <v>0</v>
      </c>
      <c r="AN36" s="382"/>
      <c r="AP36" s="377">
        <f t="shared" si="24"/>
        <v>6.6692841763320672E-3</v>
      </c>
      <c r="AQ36" s="377">
        <f t="shared" si="25"/>
        <v>4.5675881543453183E-4</v>
      </c>
      <c r="AR36" s="377">
        <f t="shared" si="26"/>
        <v>5.0166232089873244E-3</v>
      </c>
      <c r="AS36" s="377">
        <f t="shared" si="27"/>
        <v>1.1896973797364551E-4</v>
      </c>
      <c r="AT36" s="377">
        <f t="shared" si="28"/>
        <v>3.6066404816609637E-3</v>
      </c>
      <c r="AU36" s="377">
        <f t="shared" si="29"/>
        <v>0.98413172357961176</v>
      </c>
      <c r="AV36" s="377">
        <f t="shared" si="2"/>
        <v>1.0000000000000002</v>
      </c>
      <c r="AW36" s="377">
        <f t="shared" si="3"/>
        <v>1.5868276420388534E-2</v>
      </c>
      <c r="AX36" s="389"/>
      <c r="AY36" s="377">
        <f t="shared" si="88"/>
        <v>5.3165365936361925E-3</v>
      </c>
      <c r="AZ36" s="377">
        <f t="shared" si="89"/>
        <v>3.7176901750840535E-4</v>
      </c>
      <c r="BA36" s="377">
        <f t="shared" si="90"/>
        <v>3.749482674647274E-3</v>
      </c>
      <c r="BB36" s="377">
        <f t="shared" si="91"/>
        <v>9.6832860374282328E-5</v>
      </c>
      <c r="BC36" s="377">
        <f t="shared" si="92"/>
        <v>2.8842697836337231E-3</v>
      </c>
      <c r="BD36" s="377">
        <f t="shared" si="93"/>
        <v>0.98758110907020047</v>
      </c>
      <c r="BE36" s="377">
        <f t="shared" si="31"/>
        <v>1.0000000000000004</v>
      </c>
      <c r="BF36" s="377">
        <f t="shared" si="32"/>
        <v>1.2418890929799878E-2</v>
      </c>
      <c r="BG36" s="452"/>
      <c r="BH36" s="453"/>
      <c r="BJ36" s="383">
        <f t="shared" si="33"/>
        <v>3.0011179685795293</v>
      </c>
      <c r="BK36" s="383">
        <f t="shared" si="34"/>
        <v>1.1124737063020642</v>
      </c>
      <c r="BL36" s="383">
        <f t="shared" si="35"/>
        <v>3.3983184060862075</v>
      </c>
      <c r="BM36" s="383">
        <f t="shared" si="36"/>
        <v>1.0515175761236992</v>
      </c>
      <c r="BN36" s="383">
        <f t="shared" si="37"/>
        <v>11.361222593148849</v>
      </c>
      <c r="BO36" s="383">
        <f t="shared" si="38"/>
        <v>0</v>
      </c>
      <c r="BP36" s="383">
        <f t="shared" si="39"/>
        <v>19.924650250240347</v>
      </c>
      <c r="BQ36" s="445"/>
      <c r="BR36" s="383">
        <f t="shared" si="40"/>
        <v>2.3923937082176221</v>
      </c>
      <c r="BS36" s="383">
        <f t="shared" si="41"/>
        <v>0.90547405505987977</v>
      </c>
      <c r="BT36" s="383">
        <f t="shared" si="42"/>
        <v>2.5398220308243107</v>
      </c>
      <c r="BU36" s="383">
        <f t="shared" si="43"/>
        <v>0.85586012345799833</v>
      </c>
      <c r="BV36" s="383">
        <f t="shared" si="44"/>
        <v>9.0855386964784568</v>
      </c>
      <c r="BW36" s="383">
        <f t="shared" si="94"/>
        <v>0</v>
      </c>
      <c r="BX36" s="385">
        <f t="shared" si="45"/>
        <v>15.779088614038269</v>
      </c>
      <c r="BY36" s="385"/>
      <c r="CA36" s="383">
        <f t="shared" si="46"/>
        <v>3.0355314342038584</v>
      </c>
      <c r="CB36" s="383">
        <f t="shared" si="47"/>
        <v>1.1252303110242425</v>
      </c>
      <c r="CC36" s="383">
        <f t="shared" si="48"/>
        <v>3.4261923552749756</v>
      </c>
      <c r="CD36" s="383">
        <f t="shared" si="49"/>
        <v>1.0635752040937316</v>
      </c>
      <c r="CE36" s="383">
        <f t="shared" si="50"/>
        <v>11.447442646950165</v>
      </c>
      <c r="CF36" s="383">
        <f t="shared" si="51"/>
        <v>0</v>
      </c>
      <c r="CG36" s="383">
        <f t="shared" si="52"/>
        <v>20.097971951546974</v>
      </c>
      <c r="CH36" s="383"/>
      <c r="CI36" s="398"/>
      <c r="CJ36" s="383">
        <f t="shared" si="53"/>
        <v>2.419827004575704</v>
      </c>
      <c r="CK36" s="383">
        <f t="shared" si="54"/>
        <v>0.91585701920649532</v>
      </c>
      <c r="CL36" s="383">
        <f t="shared" si="55"/>
        <v>2.5607761119268302</v>
      </c>
      <c r="CM36" s="383">
        <f t="shared" si="56"/>
        <v>0.86567417050520479</v>
      </c>
      <c r="CN36" s="383">
        <f t="shared" si="57"/>
        <v>9.1546449096786269</v>
      </c>
      <c r="CO36" s="383">
        <f t="shared" si="58"/>
        <v>0</v>
      </c>
      <c r="CP36" s="383">
        <f t="shared" si="95"/>
        <v>15.916779215892861</v>
      </c>
      <c r="CR36" s="377">
        <f t="shared" si="59"/>
        <v>1.4683914937265263E-3</v>
      </c>
      <c r="CS36" s="377">
        <f t="shared" si="60"/>
        <v>9.3041122469154181E-5</v>
      </c>
      <c r="CT36" s="377">
        <f t="shared" si="61"/>
        <v>1.0804612085052387E-3</v>
      </c>
      <c r="CU36" s="377">
        <f t="shared" si="62"/>
        <v>2.1869677340452349E-5</v>
      </c>
      <c r="CV36" s="377">
        <f t="shared" si="63"/>
        <v>6.6554432314168302E-4</v>
      </c>
      <c r="CW36" s="377">
        <v>0</v>
      </c>
      <c r="CX36" s="377">
        <f t="shared" si="4"/>
        <v>3.3293078251830548E-3</v>
      </c>
      <c r="CY36" s="377"/>
      <c r="CZ36" s="454"/>
      <c r="DA36" s="377">
        <f t="shared" si="64"/>
        <v>1.1705539760752408E-3</v>
      </c>
      <c r="DB36" s="377">
        <f t="shared" si="65"/>
        <v>7.5728821249634965E-5</v>
      </c>
      <c r="DC36" s="377">
        <f t="shared" si="66"/>
        <v>8.0751090771776575E-4</v>
      </c>
      <c r="DD36" s="377">
        <f t="shared" si="67"/>
        <v>1.7800353673198372E-5</v>
      </c>
      <c r="DE36" s="377">
        <f t="shared" si="68"/>
        <v>5.3223397856598097E-4</v>
      </c>
      <c r="DF36" s="377">
        <v>0</v>
      </c>
      <c r="DG36" s="377">
        <f t="shared" si="69"/>
        <v>2.6038280372818207E-3</v>
      </c>
      <c r="DJ36" s="377">
        <f t="shared" si="70"/>
        <v>1.485229365720053E-3</v>
      </c>
      <c r="DK36" s="377">
        <f t="shared" si="71"/>
        <v>9.410801404198253E-5</v>
      </c>
      <c r="DL36" s="377">
        <f t="shared" si="72"/>
        <v>1.0893234507166726E-3</v>
      </c>
      <c r="DM36" s="377">
        <f t="shared" si="73"/>
        <v>2.2120454349970256E-5</v>
      </c>
      <c r="DN36" s="377">
        <f t="shared" si="74"/>
        <v>6.7059512351795938E-4</v>
      </c>
      <c r="DO36" s="377">
        <f t="shared" si="75"/>
        <v>0</v>
      </c>
      <c r="DP36" s="377">
        <f t="shared" si="96"/>
        <v>3.3613764083466379E-3</v>
      </c>
      <c r="DQ36" s="454"/>
      <c r="DS36" s="377">
        <f t="shared" si="76"/>
        <v>1.1839765803976403E-3</v>
      </c>
      <c r="DT36" s="377">
        <f t="shared" si="77"/>
        <v>7.6597194707169792E-5</v>
      </c>
      <c r="DU36" s="377">
        <f t="shared" si="78"/>
        <v>8.1417304736618656E-4</v>
      </c>
      <c r="DV36" s="377">
        <f t="shared" si="79"/>
        <v>1.8004468228389765E-5</v>
      </c>
      <c r="DW36" s="377">
        <f t="shared" si="80"/>
        <v>5.3628224427964861E-4</v>
      </c>
      <c r="DX36" s="377">
        <f t="shared" si="81"/>
        <v>0</v>
      </c>
      <c r="DY36" s="402">
        <f t="shared" si="97"/>
        <v>2.6290335349790348E-3</v>
      </c>
    </row>
    <row r="37" spans="2:129" x14ac:dyDescent="0.15">
      <c r="B37" s="461" t="s">
        <v>588</v>
      </c>
      <c r="C37" s="239">
        <v>28</v>
      </c>
      <c r="D37" s="239">
        <v>90</v>
      </c>
      <c r="E37" s="457">
        <f t="shared" si="5"/>
        <v>4.2999999999999997E-2</v>
      </c>
      <c r="F37" s="378">
        <v>1.12E-2</v>
      </c>
      <c r="G37" s="377">
        <f t="shared" si="6"/>
        <v>0.39479049999999999</v>
      </c>
      <c r="H37" s="377">
        <f t="shared" si="7"/>
        <v>0.82517762500000003</v>
      </c>
      <c r="I37" s="377">
        <f t="shared" si="8"/>
        <v>0.59218574999999996</v>
      </c>
      <c r="J37" s="377">
        <f t="shared" si="9"/>
        <v>0.85457559250000004</v>
      </c>
      <c r="K37" s="377">
        <f t="shared" si="10"/>
        <v>0.45795697999999996</v>
      </c>
      <c r="L37" s="377"/>
      <c r="N37" s="377">
        <f t="shared" si="82"/>
        <v>3.918851997495797E-3</v>
      </c>
      <c r="O37" s="377">
        <f t="shared" si="83"/>
        <v>2.8352803703688876E-4</v>
      </c>
      <c r="P37" s="377">
        <f t="shared" si="84"/>
        <v>2.4617932768936138E-3</v>
      </c>
      <c r="Q37" s="377">
        <f t="shared" si="85"/>
        <v>7.3849163135189633E-5</v>
      </c>
      <c r="R37" s="377">
        <f t="shared" si="86"/>
        <v>2.1455183269046083E-3</v>
      </c>
      <c r="S37" s="377">
        <f t="shared" si="87"/>
        <v>0.99111645919853464</v>
      </c>
      <c r="T37" s="377">
        <f t="shared" si="0"/>
        <v>1.0000000000000007</v>
      </c>
      <c r="U37" s="377">
        <f t="shared" si="1"/>
        <v>8.8835408014660971E-3</v>
      </c>
      <c r="V37" s="390"/>
      <c r="W37" s="377"/>
      <c r="X37" s="377">
        <f t="shared" si="11"/>
        <v>3.0390883386049788E-3</v>
      </c>
      <c r="Y37" s="377">
        <f t="shared" si="12"/>
        <v>2.26019336464604E-4</v>
      </c>
      <c r="Z37" s="377">
        <f t="shared" si="13"/>
        <v>1.7576573502894512E-3</v>
      </c>
      <c r="AA37" s="377">
        <f t="shared" si="14"/>
        <v>5.8870152753571277E-5</v>
      </c>
      <c r="AB37" s="377">
        <f t="shared" si="15"/>
        <v>1.6596105155393176E-3</v>
      </c>
      <c r="AC37" s="377">
        <f t="shared" si="16"/>
        <v>0.99325875430634891</v>
      </c>
      <c r="AD37" s="377">
        <f t="shared" si="17"/>
        <v>1.0000000000000007</v>
      </c>
      <c r="AE37" s="377">
        <f t="shared" si="18"/>
        <v>6.7412456936519231E-3</v>
      </c>
      <c r="AF37" s="377"/>
      <c r="AG37" s="390"/>
      <c r="AH37" s="377">
        <f t="shared" si="19"/>
        <v>0.55845281624999998</v>
      </c>
      <c r="AI37" s="377">
        <f t="shared" si="20"/>
        <v>0.5166683418750001</v>
      </c>
      <c r="AJ37" s="377">
        <f t="shared" si="21"/>
        <v>0.54452465812499995</v>
      </c>
      <c r="AK37" s="377">
        <f t="shared" si="22"/>
        <v>0.46626167437499999</v>
      </c>
      <c r="AL37" s="377">
        <f t="shared" si="23"/>
        <v>0.46626167437499999</v>
      </c>
      <c r="AM37" s="377">
        <v>0</v>
      </c>
      <c r="AN37" s="382"/>
      <c r="AP37" s="377">
        <f t="shared" si="24"/>
        <v>3.9637890109403186E-3</v>
      </c>
      <c r="AQ37" s="377">
        <f t="shared" si="25"/>
        <v>2.8677921958227887E-4</v>
      </c>
      <c r="AR37" s="377">
        <f t="shared" si="26"/>
        <v>2.4823421403072231E-3</v>
      </c>
      <c r="AS37" s="377">
        <f t="shared" si="27"/>
        <v>7.4695982774919146E-5</v>
      </c>
      <c r="AT37" s="377">
        <f t="shared" si="28"/>
        <v>2.1618990856064821E-3</v>
      </c>
      <c r="AU37" s="377">
        <f t="shared" si="29"/>
        <v>0.99103049456078907</v>
      </c>
      <c r="AV37" s="377">
        <f t="shared" si="2"/>
        <v>1.0000000000000002</v>
      </c>
      <c r="AW37" s="377">
        <f t="shared" si="3"/>
        <v>8.9695054392112221E-3</v>
      </c>
      <c r="AX37" s="389"/>
      <c r="AY37" s="377">
        <f t="shared" si="88"/>
        <v>3.0739372059820193E-3</v>
      </c>
      <c r="AZ37" s="377">
        <f t="shared" si="89"/>
        <v>2.2861107352635627E-4</v>
      </c>
      <c r="BA37" s="377">
        <f t="shared" si="90"/>
        <v>1.7724060313840143E-3</v>
      </c>
      <c r="BB37" s="377">
        <f t="shared" si="91"/>
        <v>5.9545209848725358E-5</v>
      </c>
      <c r="BC37" s="377">
        <f t="shared" si="92"/>
        <v>1.6723020069707656E-3</v>
      </c>
      <c r="BD37" s="377">
        <f t="shared" si="93"/>
        <v>0.99319319847228849</v>
      </c>
      <c r="BE37" s="377">
        <f t="shared" si="31"/>
        <v>1.0000000000000004</v>
      </c>
      <c r="BF37" s="377">
        <f t="shared" si="32"/>
        <v>6.8068015277118806E-3</v>
      </c>
      <c r="BG37" s="452"/>
      <c r="BH37" s="453"/>
      <c r="BJ37" s="383">
        <f t="shared" si="33"/>
        <v>1.7233521235320914</v>
      </c>
      <c r="BK37" s="383">
        <f t="shared" si="34"/>
        <v>0.67485449644221762</v>
      </c>
      <c r="BL37" s="383">
        <f t="shared" si="35"/>
        <v>1.6244692324274523</v>
      </c>
      <c r="BM37" s="383">
        <f t="shared" si="36"/>
        <v>0.63787697661091547</v>
      </c>
      <c r="BN37" s="383">
        <f t="shared" si="37"/>
        <v>6.5795698548870183</v>
      </c>
      <c r="BO37" s="383">
        <f t="shared" si="38"/>
        <v>0</v>
      </c>
      <c r="BP37" s="383">
        <f t="shared" si="39"/>
        <v>11.240122683899695</v>
      </c>
      <c r="BQ37" s="445"/>
      <c r="BR37" s="383">
        <f t="shared" si="40"/>
        <v>1.3364677577217239</v>
      </c>
      <c r="BS37" s="383">
        <f t="shared" si="41"/>
        <v>0.53797207179260143</v>
      </c>
      <c r="BT37" s="383">
        <f t="shared" si="42"/>
        <v>1.1598294273912604</v>
      </c>
      <c r="BU37" s="383">
        <f t="shared" si="43"/>
        <v>0.50849479475248194</v>
      </c>
      <c r="BV37" s="383">
        <f t="shared" si="44"/>
        <v>5.0894570239583361</v>
      </c>
      <c r="BW37" s="383">
        <f t="shared" si="94"/>
        <v>0</v>
      </c>
      <c r="BX37" s="385">
        <f t="shared" si="45"/>
        <v>8.6322210756164033</v>
      </c>
      <c r="BY37" s="385"/>
      <c r="CA37" s="383">
        <f t="shared" si="46"/>
        <v>1.7431135989831401</v>
      </c>
      <c r="CB37" s="383">
        <f t="shared" si="47"/>
        <v>0.68259297332246183</v>
      </c>
      <c r="CC37" s="383">
        <f t="shared" si="48"/>
        <v>1.6380288585301297</v>
      </c>
      <c r="CD37" s="383">
        <f t="shared" si="49"/>
        <v>0.64519143663447154</v>
      </c>
      <c r="CE37" s="383">
        <f t="shared" si="50"/>
        <v>6.6298040313111928</v>
      </c>
      <c r="CF37" s="383">
        <f t="shared" si="51"/>
        <v>0</v>
      </c>
      <c r="CG37" s="383">
        <f t="shared" si="52"/>
        <v>11.338730898781396</v>
      </c>
      <c r="CH37" s="383"/>
      <c r="CI37" s="398"/>
      <c r="CJ37" s="383">
        <f t="shared" si="53"/>
        <v>1.3517928758010205</v>
      </c>
      <c r="CK37" s="383">
        <f t="shared" si="54"/>
        <v>0.54414093406103348</v>
      </c>
      <c r="CL37" s="383">
        <f t="shared" si="55"/>
        <v>1.1695616737508063</v>
      </c>
      <c r="CM37" s="383">
        <f t="shared" si="56"/>
        <v>0.51432564456330998</v>
      </c>
      <c r="CN37" s="383">
        <f t="shared" si="57"/>
        <v>5.128377481261718</v>
      </c>
      <c r="CO37" s="383">
        <f t="shared" si="58"/>
        <v>0</v>
      </c>
      <c r="CP37" s="383">
        <f t="shared" si="95"/>
        <v>8.708198609437888</v>
      </c>
      <c r="CR37" s="377">
        <f t="shared" si="59"/>
        <v>8.3524820902338532E-4</v>
      </c>
      <c r="CS37" s="377">
        <f t="shared" si="60"/>
        <v>5.5908529352875106E-5</v>
      </c>
      <c r="CT37" s="377">
        <f t="shared" si="61"/>
        <v>5.1161036925933721E-4</v>
      </c>
      <c r="CU37" s="377">
        <f t="shared" si="62"/>
        <v>1.3141517052655381E-5</v>
      </c>
      <c r="CV37" s="377">
        <f t="shared" si="63"/>
        <v>3.8179668506448209E-4</v>
      </c>
      <c r="CW37" s="377">
        <v>0</v>
      </c>
      <c r="CX37" s="377">
        <f t="shared" si="4"/>
        <v>1.7977053097527351E-3</v>
      </c>
      <c r="CY37" s="377"/>
      <c r="CZ37" s="454"/>
      <c r="DA37" s="377">
        <f t="shared" si="64"/>
        <v>6.4773895352662812E-4</v>
      </c>
      <c r="DB37" s="377">
        <f t="shared" si="65"/>
        <v>4.4568462572908062E-5</v>
      </c>
      <c r="DC37" s="377">
        <f t="shared" si="66"/>
        <v>3.652767007096814E-4</v>
      </c>
      <c r="DD37" s="377">
        <f t="shared" si="67"/>
        <v>1.0475990295072659E-5</v>
      </c>
      <c r="DE37" s="377">
        <f t="shared" si="68"/>
        <v>2.9532900529692814E-4</v>
      </c>
      <c r="DF37" s="377">
        <v>0</v>
      </c>
      <c r="DG37" s="377">
        <f t="shared" si="69"/>
        <v>1.3633891124012185E-3</v>
      </c>
      <c r="DJ37" s="377">
        <f t="shared" si="70"/>
        <v>8.4482590167990327E-4</v>
      </c>
      <c r="DK37" s="377">
        <f t="shared" si="71"/>
        <v>5.6549625861954551E-5</v>
      </c>
      <c r="DL37" s="377">
        <f t="shared" si="72"/>
        <v>5.1588083814783881E-4</v>
      </c>
      <c r="DM37" s="377">
        <f t="shared" si="73"/>
        <v>1.3292209278045356E-5</v>
      </c>
      <c r="DN37" s="377">
        <f t="shared" si="74"/>
        <v>3.8471165404553923E-4</v>
      </c>
      <c r="DO37" s="377">
        <f t="shared" si="75"/>
        <v>0</v>
      </c>
      <c r="DP37" s="377">
        <f t="shared" si="96"/>
        <v>1.8152602290132814E-3</v>
      </c>
      <c r="DQ37" s="454"/>
      <c r="DS37" s="377">
        <f t="shared" si="76"/>
        <v>6.5516649967579802E-4</v>
      </c>
      <c r="DT37" s="377">
        <f t="shared" si="77"/>
        <v>4.5079523874309655E-5</v>
      </c>
      <c r="DU37" s="377">
        <f t="shared" si="78"/>
        <v>3.6834177455308671E-4</v>
      </c>
      <c r="DV37" s="377">
        <f t="shared" si="79"/>
        <v>1.0596117239656221E-5</v>
      </c>
      <c r="DW37" s="377">
        <f t="shared" si="80"/>
        <v>2.9758746624610215E-4</v>
      </c>
      <c r="DX37" s="377">
        <f t="shared" si="81"/>
        <v>0</v>
      </c>
      <c r="DY37" s="402">
        <f t="shared" si="97"/>
        <v>1.3767713815889529E-3</v>
      </c>
    </row>
    <row r="38" spans="2:129" x14ac:dyDescent="0.15">
      <c r="B38" s="461" t="s">
        <v>588</v>
      </c>
      <c r="C38" s="239">
        <v>29</v>
      </c>
      <c r="D38" s="239">
        <v>91</v>
      </c>
      <c r="E38" s="457">
        <f t="shared" si="5"/>
        <v>4.2999999999999997E-2</v>
      </c>
      <c r="F38" s="378">
        <v>1.12E-2</v>
      </c>
      <c r="G38" s="377">
        <f t="shared" si="6"/>
        <v>0.43334099999999998</v>
      </c>
      <c r="H38" s="377">
        <f t="shared" si="7"/>
        <v>0.8829475</v>
      </c>
      <c r="I38" s="377">
        <f t="shared" si="8"/>
        <v>0.65001149999999996</v>
      </c>
      <c r="J38" s="377">
        <f t="shared" si="9"/>
        <v>0.91529815000000014</v>
      </c>
      <c r="K38" s="377">
        <f t="shared" si="10"/>
        <v>0.50267555999999991</v>
      </c>
      <c r="L38" s="377"/>
      <c r="N38" s="377">
        <f t="shared" si="82"/>
        <v>2.1593246797141606E-3</v>
      </c>
      <c r="O38" s="377">
        <f t="shared" si="83"/>
        <v>1.6851063589231927E-4</v>
      </c>
      <c r="P38" s="377">
        <f t="shared" si="84"/>
        <v>1.0535214236852884E-3</v>
      </c>
      <c r="Q38" s="377">
        <f t="shared" si="85"/>
        <v>4.3891142371952928E-5</v>
      </c>
      <c r="R38" s="377">
        <f t="shared" si="86"/>
        <v>1.173702704174027E-3</v>
      </c>
      <c r="S38" s="377">
        <f t="shared" si="87"/>
        <v>0.99540104941416307</v>
      </c>
      <c r="T38" s="377">
        <f t="shared" si="0"/>
        <v>1.0000000000000009</v>
      </c>
      <c r="U38" s="377">
        <f t="shared" si="1"/>
        <v>4.5989505858377491E-3</v>
      </c>
      <c r="V38" s="390"/>
      <c r="W38" s="377"/>
      <c r="X38" s="377">
        <f t="shared" si="11"/>
        <v>1.6329450228778999E-3</v>
      </c>
      <c r="Y38" s="377">
        <f t="shared" si="12"/>
        <v>1.3068079856001408E-4</v>
      </c>
      <c r="Z38" s="377">
        <f t="shared" si="13"/>
        <v>7.2098319884327639E-4</v>
      </c>
      <c r="AA38" s="377">
        <f t="shared" si="14"/>
        <v>3.4037789392375766E-5</v>
      </c>
      <c r="AB38" s="377">
        <f t="shared" si="15"/>
        <v>8.8056570260568927E-4</v>
      </c>
      <c r="AC38" s="377">
        <f t="shared" si="16"/>
        <v>0.99660078748772163</v>
      </c>
      <c r="AD38" s="377">
        <f t="shared" si="17"/>
        <v>1.0000000000000009</v>
      </c>
      <c r="AE38" s="377">
        <f t="shared" si="18"/>
        <v>3.3992125122792555E-3</v>
      </c>
      <c r="AF38" s="377"/>
      <c r="AG38" s="390"/>
      <c r="AH38" s="377">
        <f t="shared" si="19"/>
        <v>0.55307740405000005</v>
      </c>
      <c r="AI38" s="377">
        <f t="shared" si="20"/>
        <v>0.51169512797500016</v>
      </c>
      <c r="AJ38" s="377">
        <f t="shared" si="21"/>
        <v>0.53928331202500002</v>
      </c>
      <c r="AK38" s="377">
        <f t="shared" si="22"/>
        <v>0.46177365207500004</v>
      </c>
      <c r="AL38" s="377">
        <f t="shared" si="23"/>
        <v>0.46177365207500004</v>
      </c>
      <c r="AM38" s="377">
        <v>0</v>
      </c>
      <c r="AN38" s="382"/>
      <c r="AP38" s="377">
        <f t="shared" si="24"/>
        <v>2.1840854010237195E-3</v>
      </c>
      <c r="AQ38" s="377">
        <f t="shared" si="25"/>
        <v>1.7044292747043368E-4</v>
      </c>
      <c r="AR38" s="377">
        <f t="shared" si="26"/>
        <v>1.0624699224608056E-3</v>
      </c>
      <c r="AS38" s="377">
        <f t="shared" si="27"/>
        <v>4.439443692253157E-5</v>
      </c>
      <c r="AT38" s="377">
        <f t="shared" si="28"/>
        <v>1.1827049283350489E-3</v>
      </c>
      <c r="AU38" s="377">
        <f t="shared" si="29"/>
        <v>0.9953559023837879</v>
      </c>
      <c r="AV38" s="377">
        <f t="shared" si="2"/>
        <v>1.0000000000000004</v>
      </c>
      <c r="AW38" s="377">
        <f t="shared" si="3"/>
        <v>4.6440976162125391E-3</v>
      </c>
      <c r="AX38" s="389"/>
      <c r="AY38" s="377">
        <f t="shared" si="88"/>
        <v>1.651669810773467E-3</v>
      </c>
      <c r="AZ38" s="377">
        <f t="shared" si="89"/>
        <v>1.3217929985722681E-4</v>
      </c>
      <c r="BA38" s="377">
        <f t="shared" si="90"/>
        <v>7.2713647384285609E-4</v>
      </c>
      <c r="BB38" s="377">
        <f t="shared" si="91"/>
        <v>3.4428096706998613E-5</v>
      </c>
      <c r="BC38" s="377">
        <f t="shared" si="92"/>
        <v>8.8732664272078211E-4</v>
      </c>
      <c r="BD38" s="377">
        <f t="shared" si="93"/>
        <v>0.99656725967609905</v>
      </c>
      <c r="BE38" s="377">
        <f t="shared" si="31"/>
        <v>1.0000000000000004</v>
      </c>
      <c r="BF38" s="377">
        <f t="shared" si="32"/>
        <v>3.4327403239013303E-3</v>
      </c>
      <c r="BG38" s="452"/>
      <c r="BH38" s="453"/>
      <c r="BJ38" s="383">
        <f t="shared" si="33"/>
        <v>0.91747187624285631</v>
      </c>
      <c r="BK38" s="383">
        <f t="shared" si="34"/>
        <v>0.38752622912365747</v>
      </c>
      <c r="BL38" s="383">
        <f t="shared" si="35"/>
        <v>0.67168079454595986</v>
      </c>
      <c r="BM38" s="383">
        <f t="shared" si="36"/>
        <v>0.36629237960777639</v>
      </c>
      <c r="BN38" s="383">
        <f t="shared" si="37"/>
        <v>3.4776272396421795</v>
      </c>
      <c r="BO38" s="383">
        <f t="shared" si="38"/>
        <v>0</v>
      </c>
      <c r="BP38" s="383">
        <f t="shared" si="39"/>
        <v>5.820598519162429</v>
      </c>
      <c r="BQ38" s="445"/>
      <c r="BR38" s="383">
        <f t="shared" si="40"/>
        <v>0.69381929823519717</v>
      </c>
      <c r="BS38" s="383">
        <f t="shared" si="41"/>
        <v>0.3005284314349847</v>
      </c>
      <c r="BT38" s="383">
        <f t="shared" si="42"/>
        <v>0.45966845758041525</v>
      </c>
      <c r="BU38" s="383">
        <f t="shared" si="43"/>
        <v>0.28406148027463374</v>
      </c>
      <c r="BV38" s="383">
        <f t="shared" si="44"/>
        <v>2.609075758951434</v>
      </c>
      <c r="BW38" s="383">
        <f t="shared" si="94"/>
        <v>0</v>
      </c>
      <c r="BX38" s="385">
        <f t="shared" si="45"/>
        <v>4.3471534264766651</v>
      </c>
      <c r="BY38" s="385"/>
      <c r="CA38" s="383">
        <f t="shared" si="46"/>
        <v>0.92799241798927612</v>
      </c>
      <c r="CB38" s="383">
        <f t="shared" si="47"/>
        <v>0.39196994666628532</v>
      </c>
      <c r="CC38" s="383">
        <f t="shared" si="48"/>
        <v>0.67738597968259207</v>
      </c>
      <c r="CD38" s="383">
        <f t="shared" si="49"/>
        <v>0.37049261110352533</v>
      </c>
      <c r="CE38" s="383">
        <f t="shared" si="50"/>
        <v>3.5043004166301857</v>
      </c>
      <c r="CF38" s="383">
        <f t="shared" si="51"/>
        <v>0</v>
      </c>
      <c r="CG38" s="383">
        <f t="shared" si="52"/>
        <v>5.872141372071864</v>
      </c>
      <c r="CH38" s="383"/>
      <c r="CI38" s="398"/>
      <c r="CJ38" s="383">
        <f t="shared" si="53"/>
        <v>0.70177524225982135</v>
      </c>
      <c r="CK38" s="383">
        <f t="shared" si="54"/>
        <v>0.30397455549695102</v>
      </c>
      <c r="CL38" s="383">
        <f t="shared" si="55"/>
        <v>0.46359152601344233</v>
      </c>
      <c r="CM38" s="383">
        <f t="shared" si="56"/>
        <v>0.28731877975068659</v>
      </c>
      <c r="CN38" s="383">
        <f t="shared" si="57"/>
        <v>2.6291081141860437</v>
      </c>
      <c r="CO38" s="383">
        <f t="shared" si="58"/>
        <v>0</v>
      </c>
      <c r="CP38" s="383">
        <f t="shared" si="95"/>
        <v>4.3857682177069446</v>
      </c>
      <c r="CR38" s="377">
        <f t="shared" si="59"/>
        <v>4.4038621911505034E-4</v>
      </c>
      <c r="CS38" s="377">
        <f t="shared" si="60"/>
        <v>3.1795704738641118E-5</v>
      </c>
      <c r="CT38" s="377">
        <f t="shared" si="61"/>
        <v>2.0950298198331484E-4</v>
      </c>
      <c r="CU38" s="377">
        <f t="shared" si="62"/>
        <v>7.4737039385665776E-6</v>
      </c>
      <c r="CV38" s="377">
        <f t="shared" si="63"/>
        <v>1.9985596293107749E-4</v>
      </c>
      <c r="CW38" s="377">
        <v>0</v>
      </c>
      <c r="CX38" s="377">
        <f t="shared" si="4"/>
        <v>8.8901457270665037E-4</v>
      </c>
      <c r="CY38" s="377"/>
      <c r="CZ38" s="454"/>
      <c r="DA38" s="377">
        <f t="shared" si="64"/>
        <v>3.3303305028826497E-4</v>
      </c>
      <c r="DB38" s="377">
        <f t="shared" si="65"/>
        <v>2.4657720054413695E-5</v>
      </c>
      <c r="DC38" s="377">
        <f t="shared" si="66"/>
        <v>1.4337452160124013E-4</v>
      </c>
      <c r="DD38" s="377">
        <f t="shared" si="67"/>
        <v>5.7958929044520907E-6</v>
      </c>
      <c r="DE38" s="377">
        <f t="shared" si="68"/>
        <v>1.4994112716319261E-4</v>
      </c>
      <c r="DF38" s="377">
        <v>0</v>
      </c>
      <c r="DG38" s="377">
        <f t="shared" si="69"/>
        <v>6.5680231201156345E-4</v>
      </c>
      <c r="DJ38" s="377">
        <f t="shared" si="70"/>
        <v>4.4543607592561644E-4</v>
      </c>
      <c r="DK38" s="377">
        <f t="shared" si="71"/>
        <v>3.2160302333097702E-5</v>
      </c>
      <c r="DL38" s="377">
        <f t="shared" si="72"/>
        <v>2.1128247800076359E-4</v>
      </c>
      <c r="DM38" s="377">
        <f t="shared" si="73"/>
        <v>7.559404019759323E-6</v>
      </c>
      <c r="DN38" s="377">
        <f t="shared" si="74"/>
        <v>2.0138884529713504E-4</v>
      </c>
      <c r="DO38" s="377">
        <f t="shared" si="75"/>
        <v>0</v>
      </c>
      <c r="DP38" s="377">
        <f t="shared" si="96"/>
        <v>8.978271055763721E-4</v>
      </c>
      <c r="DQ38" s="454"/>
      <c r="DS38" s="377">
        <f t="shared" si="76"/>
        <v>3.3685190097919098E-4</v>
      </c>
      <c r="DT38" s="377">
        <f t="shared" si="77"/>
        <v>2.494046722075335E-5</v>
      </c>
      <c r="DU38" s="377">
        <f t="shared" si="78"/>
        <v>1.4459816018361075E-4</v>
      </c>
      <c r="DV38" s="377">
        <f t="shared" si="79"/>
        <v>5.8623537244924491E-6</v>
      </c>
      <c r="DW38" s="377">
        <f t="shared" si="80"/>
        <v>1.5109236775607524E-4</v>
      </c>
      <c r="DX38" s="377">
        <f t="shared" si="81"/>
        <v>0</v>
      </c>
      <c r="DY38" s="402">
        <f t="shared" si="97"/>
        <v>6.6334524986412275E-4</v>
      </c>
    </row>
    <row r="39" spans="2:129" x14ac:dyDescent="0.15">
      <c r="B39" s="461" t="s">
        <v>588</v>
      </c>
      <c r="C39" s="239">
        <v>30</v>
      </c>
      <c r="D39" s="239">
        <v>92</v>
      </c>
      <c r="E39" s="457">
        <f t="shared" si="5"/>
        <v>4.2999999999999997E-2</v>
      </c>
      <c r="F39" s="378">
        <v>1.12E-2</v>
      </c>
      <c r="G39" s="377">
        <f t="shared" si="6"/>
        <v>0.47662100000000002</v>
      </c>
      <c r="H39" s="377">
        <f t="shared" si="7"/>
        <v>0.95796025000000007</v>
      </c>
      <c r="I39" s="377">
        <f t="shared" si="8"/>
        <v>0.71493150000000005</v>
      </c>
      <c r="J39" s="377">
        <f t="shared" si="9"/>
        <v>0.99414488500000009</v>
      </c>
      <c r="K39" s="377">
        <f t="shared" si="10"/>
        <v>0.55288035999999996</v>
      </c>
      <c r="L39" s="377"/>
      <c r="N39" s="377">
        <f t="shared" si="82"/>
        <v>1.1065653660416392E-3</v>
      </c>
      <c r="O39" s="377">
        <f t="shared" si="83"/>
        <v>9.28509612277089E-5</v>
      </c>
      <c r="P39" s="377">
        <f t="shared" si="84"/>
        <v>3.8844497400126424E-4</v>
      </c>
      <c r="Q39" s="377">
        <f t="shared" si="85"/>
        <v>2.41844364127986E-5</v>
      </c>
      <c r="R39" s="377">
        <f t="shared" si="86"/>
        <v>5.8742870103735152E-4</v>
      </c>
      <c r="S39" s="377">
        <f t="shared" si="87"/>
        <v>0.99780052556128007</v>
      </c>
      <c r="T39" s="377">
        <f t="shared" si="0"/>
        <v>1.0000000000000009</v>
      </c>
      <c r="U39" s="377">
        <f t="shared" si="1"/>
        <v>2.1994744387207627E-3</v>
      </c>
      <c r="V39" s="390"/>
      <c r="W39" s="377"/>
      <c r="X39" s="377">
        <f t="shared" si="11"/>
        <v>8.1287129895784476E-4</v>
      </c>
      <c r="Y39" s="377">
        <f t="shared" si="12"/>
        <v>7.0216635983749693E-5</v>
      </c>
      <c r="Z39" s="377">
        <f t="shared" si="13"/>
        <v>2.5154091563480807E-4</v>
      </c>
      <c r="AA39" s="377">
        <f t="shared" si="14"/>
        <v>1.8288984256232478E-5</v>
      </c>
      <c r="AB39" s="377">
        <f t="shared" si="15"/>
        <v>4.2511060651362342E-4</v>
      </c>
      <c r="AC39" s="377">
        <f t="shared" si="16"/>
        <v>0.99842197155865453</v>
      </c>
      <c r="AD39" s="377">
        <f t="shared" si="17"/>
        <v>1.0000000000000009</v>
      </c>
      <c r="AE39" s="377">
        <f t="shared" si="18"/>
        <v>1.5780284413462586E-3</v>
      </c>
      <c r="AF39" s="377"/>
      <c r="AG39" s="390"/>
      <c r="AH39" s="377">
        <f t="shared" si="19"/>
        <v>0.54764608305000007</v>
      </c>
      <c r="AI39" s="377">
        <f t="shared" si="20"/>
        <v>0.50667018847500012</v>
      </c>
      <c r="AJ39" s="377">
        <f t="shared" si="21"/>
        <v>0.53398745152500005</v>
      </c>
      <c r="AK39" s="377">
        <f t="shared" si="22"/>
        <v>0.45723895057500002</v>
      </c>
      <c r="AL39" s="377">
        <f t="shared" si="23"/>
        <v>0.45723895057500002</v>
      </c>
      <c r="AM39" s="377">
        <v>0</v>
      </c>
      <c r="AN39" s="382"/>
      <c r="AP39" s="377">
        <f t="shared" si="24"/>
        <v>1.1192542205232144E-3</v>
      </c>
      <c r="AQ39" s="377">
        <f t="shared" si="25"/>
        <v>9.3915672244019929E-5</v>
      </c>
      <c r="AR39" s="377">
        <f t="shared" si="26"/>
        <v>3.9180302522490661E-4</v>
      </c>
      <c r="AS39" s="377">
        <f t="shared" si="27"/>
        <v>2.446175649146566E-5</v>
      </c>
      <c r="AT39" s="377">
        <f t="shared" si="28"/>
        <v>5.9194835710651517E-4</v>
      </c>
      <c r="AU39" s="377">
        <f t="shared" si="29"/>
        <v>0.9977786169684103</v>
      </c>
      <c r="AV39" s="377">
        <f t="shared" si="2"/>
        <v>1.0000000000000004</v>
      </c>
      <c r="AW39" s="377">
        <f t="shared" si="3"/>
        <v>2.221383031590122E-3</v>
      </c>
      <c r="AX39" s="389"/>
      <c r="AY39" s="377">
        <f t="shared" si="88"/>
        <v>8.2219239822703774E-4</v>
      </c>
      <c r="AZ39" s="377">
        <f t="shared" si="89"/>
        <v>7.1021801863259071E-5</v>
      </c>
      <c r="BA39" s="377">
        <f t="shared" si="90"/>
        <v>2.5372095865172672E-4</v>
      </c>
      <c r="BB39" s="377">
        <f t="shared" si="91"/>
        <v>1.8498701880662831E-5</v>
      </c>
      <c r="BC39" s="377">
        <f t="shared" si="92"/>
        <v>4.2838165991596565E-4</v>
      </c>
      <c r="BD39" s="377">
        <f t="shared" si="93"/>
        <v>0.99840618447946183</v>
      </c>
      <c r="BE39" s="377">
        <f t="shared" si="31"/>
        <v>1.0000000000000004</v>
      </c>
      <c r="BF39" s="377">
        <f t="shared" si="32"/>
        <v>1.5938155205386518E-3</v>
      </c>
      <c r="BG39" s="452"/>
      <c r="BH39" s="453"/>
      <c r="BJ39" s="383">
        <f t="shared" si="33"/>
        <v>0.45426736253868399</v>
      </c>
      <c r="BK39" s="383">
        <f t="shared" si="34"/>
        <v>0.20630979105923861</v>
      </c>
      <c r="BL39" s="383">
        <f t="shared" si="35"/>
        <v>0.23928127595639659</v>
      </c>
      <c r="BM39" s="383">
        <f t="shared" si="36"/>
        <v>0.19500539221400104</v>
      </c>
      <c r="BN39" s="383">
        <f t="shared" si="37"/>
        <v>1.6816659693339979</v>
      </c>
      <c r="BO39" s="383">
        <f t="shared" si="38"/>
        <v>0</v>
      </c>
      <c r="BP39" s="383">
        <f t="shared" si="39"/>
        <v>2.7765297911023179</v>
      </c>
      <c r="BQ39" s="445"/>
      <c r="BR39" s="383">
        <f t="shared" si="40"/>
        <v>0.33370003471361065</v>
      </c>
      <c r="BS39" s="383">
        <f t="shared" si="41"/>
        <v>0.1560175501378325</v>
      </c>
      <c r="BT39" s="383">
        <f t="shared" si="42"/>
        <v>0.15494866783407343</v>
      </c>
      <c r="BU39" s="383">
        <f t="shared" si="43"/>
        <v>0.14746883025129789</v>
      </c>
      <c r="BV39" s="383">
        <f t="shared" si="44"/>
        <v>1.2169886131107508</v>
      </c>
      <c r="BW39" s="383">
        <f t="shared" si="94"/>
        <v>0</v>
      </c>
      <c r="BX39" s="385">
        <f t="shared" si="45"/>
        <v>2.0091236960475651</v>
      </c>
      <c r="BY39" s="385"/>
      <c r="CA39" s="383">
        <f t="shared" si="46"/>
        <v>0.45947639278296276</v>
      </c>
      <c r="CB39" s="383">
        <f t="shared" si="47"/>
        <v>0.20867552108948462</v>
      </c>
      <c r="CC39" s="383">
        <f t="shared" si="48"/>
        <v>0.24134982835197341</v>
      </c>
      <c r="CD39" s="383">
        <f t="shared" si="49"/>
        <v>0.19724149603656801</v>
      </c>
      <c r="CE39" s="383">
        <f t="shared" si="50"/>
        <v>1.6946046490259918</v>
      </c>
      <c r="CF39" s="383">
        <f t="shared" si="51"/>
        <v>0</v>
      </c>
      <c r="CG39" s="383">
        <f t="shared" si="52"/>
        <v>2.8013478872869806</v>
      </c>
      <c r="CH39" s="383"/>
      <c r="CI39" s="398"/>
      <c r="CJ39" s="383">
        <f t="shared" si="53"/>
        <v>0.33752653363624019</v>
      </c>
      <c r="CK39" s="383">
        <f t="shared" si="54"/>
        <v>0.1578065849757404</v>
      </c>
      <c r="CL39" s="383">
        <f t="shared" si="55"/>
        <v>0.15629156968540858</v>
      </c>
      <c r="CM39" s="383">
        <f t="shared" si="56"/>
        <v>0.14915983792698584</v>
      </c>
      <c r="CN39" s="383">
        <f t="shared" si="57"/>
        <v>1.2263528460480912</v>
      </c>
      <c r="CO39" s="383">
        <f t="shared" si="58"/>
        <v>0</v>
      </c>
      <c r="CP39" s="383">
        <f t="shared" si="95"/>
        <v>2.0271373722724664</v>
      </c>
      <c r="CR39" s="377">
        <f t="shared" si="59"/>
        <v>2.1590692160102949E-4</v>
      </c>
      <c r="CS39" s="377">
        <f t="shared" si="60"/>
        <v>1.6761051568024832E-5</v>
      </c>
      <c r="CT39" s="377">
        <f t="shared" si="61"/>
        <v>7.3900957301244237E-5</v>
      </c>
      <c r="CU39" s="377">
        <f t="shared" si="62"/>
        <v>3.9397502948323821E-6</v>
      </c>
      <c r="CV39" s="377">
        <f t="shared" si="63"/>
        <v>9.5694700451243539E-5</v>
      </c>
      <c r="CW39" s="377">
        <v>0</v>
      </c>
      <c r="CX39" s="377">
        <f t="shared" si="4"/>
        <v>4.0620338121637449E-4</v>
      </c>
      <c r="CY39" s="377"/>
      <c r="CZ39" s="454"/>
      <c r="DA39" s="377">
        <f t="shared" si="64"/>
        <v>1.5860295758543947E-4</v>
      </c>
      <c r="DB39" s="377">
        <f t="shared" si="65"/>
        <v>1.2675201646761636E-5</v>
      </c>
      <c r="DC39" s="377">
        <f t="shared" si="66"/>
        <v>4.78552065543866E-5</v>
      </c>
      <c r="DD39" s="377">
        <f t="shared" si="67"/>
        <v>2.9793553955859447E-6</v>
      </c>
      <c r="DE39" s="377">
        <f t="shared" si="68"/>
        <v>6.9252374078979456E-5</v>
      </c>
      <c r="DF39" s="377">
        <v>0</v>
      </c>
      <c r="DG39" s="377">
        <f t="shared" si="69"/>
        <v>2.913650952611531E-4</v>
      </c>
      <c r="DJ39" s="377">
        <f t="shared" si="70"/>
        <v>2.1838270079477053E-4</v>
      </c>
      <c r="DK39" s="377">
        <f t="shared" si="71"/>
        <v>1.6953248568610192E-5</v>
      </c>
      <c r="DL39" s="377">
        <f t="shared" si="72"/>
        <v>7.4539820503765638E-5</v>
      </c>
      <c r="DM39" s="377">
        <f t="shared" si="73"/>
        <v>3.9849269465865363E-6</v>
      </c>
      <c r="DN39" s="377">
        <f t="shared" si="74"/>
        <v>9.64309721603335E-5</v>
      </c>
      <c r="DO39" s="377">
        <f t="shared" si="75"/>
        <v>0</v>
      </c>
      <c r="DP39" s="377">
        <f t="shared" si="96"/>
        <v>4.1029166897406643E-4</v>
      </c>
      <c r="DQ39" s="454"/>
      <c r="DS39" s="377">
        <f t="shared" si="76"/>
        <v>1.6042163898548006E-4</v>
      </c>
      <c r="DT39" s="377">
        <f t="shared" si="77"/>
        <v>1.2820546688415802E-5</v>
      </c>
      <c r="DU39" s="377">
        <f t="shared" si="78"/>
        <v>4.8269955815391727E-5</v>
      </c>
      <c r="DV39" s="377">
        <f t="shared" si="79"/>
        <v>3.0135193123536631E-6</v>
      </c>
      <c r="DW39" s="377">
        <f t="shared" si="80"/>
        <v>6.9785242961525353E-5</v>
      </c>
      <c r="DX39" s="377">
        <f t="shared" si="81"/>
        <v>0</v>
      </c>
      <c r="DY39" s="402">
        <f t="shared" si="97"/>
        <v>2.9431090376316662E-4</v>
      </c>
    </row>
    <row r="40" spans="2:129" x14ac:dyDescent="0.15">
      <c r="B40" s="461" t="s">
        <v>588</v>
      </c>
      <c r="C40" s="239">
        <v>31</v>
      </c>
      <c r="D40" s="239">
        <v>93</v>
      </c>
      <c r="E40" s="457">
        <f t="shared" si="5"/>
        <v>4.2999999999999997E-2</v>
      </c>
      <c r="F40" s="378">
        <v>1.12E-2</v>
      </c>
      <c r="G40" s="377">
        <f t="shared" si="6"/>
        <v>0.52079399999999998</v>
      </c>
      <c r="H40" s="377">
        <f t="shared" si="7"/>
        <v>1</v>
      </c>
      <c r="I40" s="377">
        <f t="shared" si="8"/>
        <v>0.76695774999999999</v>
      </c>
      <c r="J40" s="377">
        <f t="shared" si="9"/>
        <v>1</v>
      </c>
      <c r="K40" s="377">
        <f t="shared" si="10"/>
        <v>0.60412103999999989</v>
      </c>
      <c r="L40" s="377"/>
      <c r="N40" s="377">
        <f t="shared" si="82"/>
        <v>5.1917723187405024E-4</v>
      </c>
      <c r="O40" s="377">
        <f t="shared" si="83"/>
        <v>4.7582310739790479E-5</v>
      </c>
      <c r="P40" s="377">
        <f t="shared" si="84"/>
        <v>1.1463685726835193E-4</v>
      </c>
      <c r="Q40" s="377">
        <f t="shared" si="85"/>
        <v>1.2393532099666359E-5</v>
      </c>
      <c r="R40" s="377">
        <f t="shared" si="86"/>
        <v>2.6279251198989539E-4</v>
      </c>
      <c r="S40" s="377">
        <f t="shared" si="87"/>
        <v>0.99904341755602899</v>
      </c>
      <c r="T40" s="377">
        <f t="shared" si="0"/>
        <v>1.0000000000000007</v>
      </c>
      <c r="U40" s="377">
        <f t="shared" si="1"/>
        <v>9.5658244397175442E-4</v>
      </c>
      <c r="V40" s="390"/>
      <c r="W40" s="377"/>
      <c r="X40" s="377">
        <f t="shared" si="11"/>
        <v>3.6991533524195644E-4</v>
      </c>
      <c r="Y40" s="377">
        <f t="shared" si="12"/>
        <v>3.4953465855187321E-5</v>
      </c>
      <c r="Z40" s="377">
        <f t="shared" si="13"/>
        <v>7.0676044209548768E-5</v>
      </c>
      <c r="AA40" s="377">
        <f t="shared" si="14"/>
        <v>9.104158548327861E-6</v>
      </c>
      <c r="AB40" s="377">
        <f t="shared" si="15"/>
        <v>1.8341326916612136E-4</v>
      </c>
      <c r="AC40" s="377">
        <f t="shared" si="16"/>
        <v>0.99933193772697959</v>
      </c>
      <c r="AD40" s="377">
        <f t="shared" si="17"/>
        <v>1.0000000000000007</v>
      </c>
      <c r="AE40" s="377">
        <f t="shared" si="18"/>
        <v>6.680622730211418E-4</v>
      </c>
      <c r="AF40" s="377"/>
      <c r="AG40" s="390"/>
      <c r="AH40" s="377">
        <f t="shared" si="19"/>
        <v>0.54215885325000013</v>
      </c>
      <c r="AI40" s="377">
        <f t="shared" si="20"/>
        <v>0.50159352337500007</v>
      </c>
      <c r="AJ40" s="377">
        <f t="shared" si="21"/>
        <v>0.52863707662500015</v>
      </c>
      <c r="AK40" s="377">
        <f t="shared" si="22"/>
        <v>0.45265756987500005</v>
      </c>
      <c r="AL40" s="377">
        <f t="shared" si="23"/>
        <v>0.45265756987500005</v>
      </c>
      <c r="AM40" s="377">
        <v>0</v>
      </c>
      <c r="AN40" s="382"/>
      <c r="AP40" s="377">
        <f t="shared" si="24"/>
        <v>5.2513057593086122E-4</v>
      </c>
      <c r="AQ40" s="377">
        <f t="shared" si="25"/>
        <v>4.8127931482498212E-5</v>
      </c>
      <c r="AR40" s="377">
        <f t="shared" si="26"/>
        <v>1.1563889207854681E-4</v>
      </c>
      <c r="AS40" s="377">
        <f t="shared" si="27"/>
        <v>1.253564726986E-5</v>
      </c>
      <c r="AT40" s="377">
        <f t="shared" si="28"/>
        <v>2.6481496272541609E-4</v>
      </c>
      <c r="AU40" s="377">
        <f t="shared" si="29"/>
        <v>0.99903375199051325</v>
      </c>
      <c r="AV40" s="377">
        <f t="shared" si="2"/>
        <v>1.0000000000000004</v>
      </c>
      <c r="AW40" s="377">
        <f t="shared" si="3"/>
        <v>9.6624800948718237E-4</v>
      </c>
      <c r="AX40" s="389"/>
      <c r="AY40" s="377">
        <f t="shared" si="88"/>
        <v>3.7415711074246643E-4</v>
      </c>
      <c r="AZ40" s="377">
        <f t="shared" si="89"/>
        <v>3.5354273123762621E-5</v>
      </c>
      <c r="BA40" s="377">
        <f t="shared" si="90"/>
        <v>7.1293819838019274E-5</v>
      </c>
      <c r="BB40" s="377">
        <f t="shared" si="91"/>
        <v>9.2085548601428228E-6</v>
      </c>
      <c r="BC40" s="377">
        <f t="shared" si="92"/>
        <v>1.8482481738079628E-4</v>
      </c>
      <c r="BD40" s="377">
        <f t="shared" si="93"/>
        <v>0.99932516142405525</v>
      </c>
      <c r="BE40" s="377">
        <f t="shared" si="31"/>
        <v>1.0000000000000004</v>
      </c>
      <c r="BF40" s="377">
        <f t="shared" si="32"/>
        <v>6.7483857594518735E-4</v>
      </c>
      <c r="BG40" s="452"/>
      <c r="BH40" s="453"/>
      <c r="BJ40" s="383">
        <f t="shared" si="33"/>
        <v>0.20592532066525338</v>
      </c>
      <c r="BK40" s="383">
        <f t="shared" si="34"/>
        <v>0.10215005721393852</v>
      </c>
      <c r="BL40" s="383">
        <f t="shared" si="35"/>
        <v>6.8228077016183872E-2</v>
      </c>
      <c r="BM40" s="383">
        <f t="shared" si="36"/>
        <v>9.655291622086451E-2</v>
      </c>
      <c r="BN40" s="383">
        <f t="shared" si="37"/>
        <v>0.72687077960145319</v>
      </c>
      <c r="BO40" s="383">
        <f t="shared" si="38"/>
        <v>0</v>
      </c>
      <c r="BP40" s="383">
        <f t="shared" si="39"/>
        <v>1.1997271507176936</v>
      </c>
      <c r="BQ40" s="445"/>
      <c r="BR40" s="383">
        <f t="shared" si="40"/>
        <v>0.14672240874995504</v>
      </c>
      <c r="BS40" s="383">
        <f t="shared" si="41"/>
        <v>7.5038359453758488E-2</v>
      </c>
      <c r="BT40" s="383">
        <f t="shared" si="42"/>
        <v>4.2064050798604327E-2</v>
      </c>
      <c r="BU40" s="383">
        <f t="shared" si="43"/>
        <v>7.0926758450226765E-2</v>
      </c>
      <c r="BV40" s="383">
        <f t="shared" si="44"/>
        <v>0.50731181394223279</v>
      </c>
      <c r="BW40" s="383">
        <f t="shared" si="94"/>
        <v>0</v>
      </c>
      <c r="BX40" s="385">
        <f t="shared" si="45"/>
        <v>0.84206339139477748</v>
      </c>
      <c r="BY40" s="385"/>
      <c r="CA40" s="383">
        <f t="shared" si="46"/>
        <v>0.20828664201885772</v>
      </c>
      <c r="CB40" s="383">
        <f t="shared" si="47"/>
        <v>0.10332139986666299</v>
      </c>
      <c r="CC40" s="383">
        <f t="shared" si="48"/>
        <v>6.8824455090670283E-2</v>
      </c>
      <c r="CD40" s="383">
        <f t="shared" si="49"/>
        <v>9.7660077118264382E-2</v>
      </c>
      <c r="CE40" s="383">
        <f t="shared" si="50"/>
        <v>0.73246477591322778</v>
      </c>
      <c r="CF40" s="383">
        <f t="shared" si="51"/>
        <v>0</v>
      </c>
      <c r="CG40" s="383">
        <f t="shared" si="52"/>
        <v>1.2105573500076832</v>
      </c>
      <c r="CH40" s="383"/>
      <c r="CI40" s="398"/>
      <c r="CJ40" s="383">
        <f t="shared" si="53"/>
        <v>0.14840485729836217</v>
      </c>
      <c r="CK40" s="383">
        <f t="shared" si="54"/>
        <v>7.589881546735204E-2</v>
      </c>
      <c r="CL40" s="383">
        <f t="shared" si="55"/>
        <v>4.2431730480012024E-2</v>
      </c>
      <c r="CM40" s="383">
        <f t="shared" si="56"/>
        <v>7.1740067220267267E-2</v>
      </c>
      <c r="CN40" s="383">
        <f t="shared" si="57"/>
        <v>0.51121608481919467</v>
      </c>
      <c r="CO40" s="383">
        <f t="shared" si="58"/>
        <v>0</v>
      </c>
      <c r="CP40" s="383">
        <f t="shared" si="95"/>
        <v>0.84969155528518825</v>
      </c>
      <c r="CR40" s="377">
        <f t="shared" si="59"/>
        <v>9.6892764908417645E-5</v>
      </c>
      <c r="CS40" s="377">
        <f t="shared" si="60"/>
        <v>8.2157384602302788E-6</v>
      </c>
      <c r="CT40" s="377">
        <f t="shared" si="61"/>
        <v>2.0860804237727318E-5</v>
      </c>
      <c r="CU40" s="377">
        <f t="shared" si="62"/>
        <v>1.9311412466928119E-6</v>
      </c>
      <c r="CV40" s="377">
        <f t="shared" si="63"/>
        <v>4.0947927930840971E-5</v>
      </c>
      <c r="CW40" s="377">
        <v>0</v>
      </c>
      <c r="CX40" s="377">
        <f t="shared" si="4"/>
        <v>1.6884837678390901E-4</v>
      </c>
      <c r="CY40" s="377"/>
      <c r="CZ40" s="454"/>
      <c r="DA40" s="377">
        <f t="shared" si="64"/>
        <v>6.9036385675542305E-5</v>
      </c>
      <c r="DB40" s="377">
        <f t="shared" si="65"/>
        <v>6.0351952076313304E-6</v>
      </c>
      <c r="DC40" s="377">
        <f t="shared" si="66"/>
        <v>1.2861126497048416E-5</v>
      </c>
      <c r="DD40" s="377">
        <f t="shared" si="67"/>
        <v>1.4185960828374494E-6</v>
      </c>
      <c r="DE40" s="377">
        <f t="shared" si="68"/>
        <v>2.8579175527128624E-5</v>
      </c>
      <c r="DF40" s="377">
        <v>0</v>
      </c>
      <c r="DG40" s="377">
        <f t="shared" si="69"/>
        <v>1.1793047899018812E-4</v>
      </c>
      <c r="DJ40" s="377">
        <f t="shared" si="70"/>
        <v>9.8003822810616736E-5</v>
      </c>
      <c r="DK40" s="377">
        <f t="shared" si="71"/>
        <v>8.3099473637254734E-6</v>
      </c>
      <c r="DL40" s="377">
        <f t="shared" si="72"/>
        <v>2.1043147443158463E-5</v>
      </c>
      <c r="DM40" s="377">
        <f t="shared" si="73"/>
        <v>1.953285415500758E-6</v>
      </c>
      <c r="DN40" s="377">
        <f t="shared" si="74"/>
        <v>4.1263063116142461E-5</v>
      </c>
      <c r="DO40" s="377">
        <f t="shared" si="75"/>
        <v>0</v>
      </c>
      <c r="DP40" s="377">
        <f t="shared" si="96"/>
        <v>1.7057326614914388E-4</v>
      </c>
      <c r="DQ40" s="454"/>
      <c r="DS40" s="377">
        <f t="shared" si="76"/>
        <v>6.9828017764032862E-5</v>
      </c>
      <c r="DT40" s="377">
        <f t="shared" si="77"/>
        <v>6.1044000789454133E-6</v>
      </c>
      <c r="DU40" s="377">
        <f t="shared" si="78"/>
        <v>1.297354493519693E-5</v>
      </c>
      <c r="DV40" s="377">
        <f t="shared" si="79"/>
        <v>1.4348629567299941E-6</v>
      </c>
      <c r="DW40" s="377">
        <f t="shared" si="80"/>
        <v>2.8799120814487649E-5</v>
      </c>
      <c r="DX40" s="377">
        <f t="shared" si="81"/>
        <v>0</v>
      </c>
      <c r="DY40" s="402">
        <f t="shared" si="97"/>
        <v>1.1913994654939286E-4</v>
      </c>
    </row>
    <row r="41" spans="2:129" x14ac:dyDescent="0.15">
      <c r="B41" s="461" t="s">
        <v>588</v>
      </c>
      <c r="C41" s="239">
        <v>32</v>
      </c>
      <c r="D41" s="239">
        <v>94</v>
      </c>
      <c r="E41" s="457">
        <f t="shared" si="5"/>
        <v>4.2999999999999997E-2</v>
      </c>
      <c r="F41" s="378">
        <v>1.12E-2</v>
      </c>
      <c r="G41" s="377">
        <f t="shared" si="6"/>
        <v>0.55733999999999995</v>
      </c>
      <c r="H41" s="377">
        <f t="shared" si="7"/>
        <v>1</v>
      </c>
      <c r="I41" s="377">
        <f t="shared" si="8"/>
        <v>0.82177674999999994</v>
      </c>
      <c r="J41" s="377">
        <f t="shared" si="9"/>
        <v>1</v>
      </c>
      <c r="K41" s="377">
        <f t="shared" si="10"/>
        <v>0.64651439999999993</v>
      </c>
      <c r="L41" s="377"/>
      <c r="N41" s="377">
        <f t="shared" si="82"/>
        <v>2.2065343860986258E-4</v>
      </c>
      <c r="O41" s="377">
        <f t="shared" si="83"/>
        <v>2.2324620970584159E-5</v>
      </c>
      <c r="P41" s="377">
        <f t="shared" si="84"/>
        <v>2.6715231150745589E-5</v>
      </c>
      <c r="Q41" s="377">
        <f t="shared" si="85"/>
        <v>5.8147849969893624E-6</v>
      </c>
      <c r="R41" s="377">
        <f t="shared" si="86"/>
        <v>1.0403402634234736E-4</v>
      </c>
      <c r="S41" s="377">
        <f t="shared" si="87"/>
        <v>0.99962045789793019</v>
      </c>
      <c r="T41" s="377">
        <f t="shared" si="0"/>
        <v>1.0000000000000007</v>
      </c>
      <c r="U41" s="377">
        <f t="shared" si="1"/>
        <v>3.7954210207052908E-4</v>
      </c>
      <c r="V41" s="390"/>
      <c r="W41" s="377"/>
      <c r="X41" s="377">
        <f t="shared" si="11"/>
        <v>1.5318423668612491E-4</v>
      </c>
      <c r="Y41" s="377">
        <f t="shared" si="12"/>
        <v>1.5906359415404126E-5</v>
      </c>
      <c r="Z41" s="377">
        <f t="shared" si="13"/>
        <v>1.5738253235466353E-5</v>
      </c>
      <c r="AA41" s="377">
        <f t="shared" si="14"/>
        <v>4.1430517547099122E-6</v>
      </c>
      <c r="AB41" s="377">
        <f t="shared" si="15"/>
        <v>7.0404278282193905E-5</v>
      </c>
      <c r="AC41" s="377">
        <f t="shared" si="16"/>
        <v>0.99974062382062678</v>
      </c>
      <c r="AD41" s="377">
        <f t="shared" si="17"/>
        <v>1.0000000000000007</v>
      </c>
      <c r="AE41" s="377">
        <f t="shared" si="18"/>
        <v>2.5937617937389916E-4</v>
      </c>
      <c r="AF41" s="377"/>
      <c r="AG41" s="390"/>
      <c r="AH41" s="377">
        <f t="shared" si="19"/>
        <v>0.53661571465000002</v>
      </c>
      <c r="AI41" s="377">
        <f t="shared" si="20"/>
        <v>0.49646513267500003</v>
      </c>
      <c r="AJ41" s="377">
        <f t="shared" si="21"/>
        <v>0.52323218732499999</v>
      </c>
      <c r="AK41" s="377">
        <f t="shared" si="22"/>
        <v>0.44802950997500007</v>
      </c>
      <c r="AL41" s="377">
        <f t="shared" si="23"/>
        <v>0.44802950997500007</v>
      </c>
      <c r="AM41" s="377">
        <v>0</v>
      </c>
      <c r="AN41" s="382"/>
      <c r="AP41" s="377">
        <f t="shared" si="24"/>
        <v>2.2318364555407163E-4</v>
      </c>
      <c r="AQ41" s="377">
        <f t="shared" si="25"/>
        <v>2.2580614765027029E-5</v>
      </c>
      <c r="AR41" s="377">
        <f t="shared" si="26"/>
        <v>2.6948747597491725E-5</v>
      </c>
      <c r="AS41" s="377">
        <f t="shared" si="27"/>
        <v>5.8814624504256454E-6</v>
      </c>
      <c r="AT41" s="377">
        <f t="shared" si="28"/>
        <v>1.0483467203617651E-4</v>
      </c>
      <c r="AU41" s="377">
        <f t="shared" si="29"/>
        <v>0.99961657085759725</v>
      </c>
      <c r="AV41" s="377">
        <f t="shared" si="2"/>
        <v>1.0000000000000004</v>
      </c>
      <c r="AW41" s="377">
        <f t="shared" si="3"/>
        <v>3.8342914240319255E-4</v>
      </c>
      <c r="AX41" s="389"/>
      <c r="AY41" s="377">
        <f t="shared" si="88"/>
        <v>1.5494078225300315E-4</v>
      </c>
      <c r="AZ41" s="377">
        <f t="shared" si="89"/>
        <v>1.6088755761926056E-5</v>
      </c>
      <c r="BA41" s="377">
        <f t="shared" si="90"/>
        <v>1.5875820488873196E-5</v>
      </c>
      <c r="BB41" s="377">
        <f t="shared" si="91"/>
        <v>4.1905596403156234E-6</v>
      </c>
      <c r="BC41" s="377">
        <f t="shared" si="92"/>
        <v>7.0946109490843795E-5</v>
      </c>
      <c r="BD41" s="377">
        <f t="shared" si="93"/>
        <v>0.99973795797236542</v>
      </c>
      <c r="BE41" s="377">
        <f t="shared" si="31"/>
        <v>1.0000000000000004</v>
      </c>
      <c r="BF41" s="377">
        <f t="shared" si="32"/>
        <v>2.6204202763496185E-4</v>
      </c>
      <c r="BG41" s="452"/>
      <c r="BH41" s="453"/>
      <c r="BJ41" s="383">
        <f t="shared" si="33"/>
        <v>8.4559900323339807E-2</v>
      </c>
      <c r="BK41" s="383">
        <f t="shared" si="34"/>
        <v>4.6305953327128967E-2</v>
      </c>
      <c r="BL41" s="383">
        <f t="shared" si="35"/>
        <v>1.5362342590362106E-2</v>
      </c>
      <c r="BM41" s="383">
        <f t="shared" si="36"/>
        <v>4.3768696308781649E-2</v>
      </c>
      <c r="BN41" s="383">
        <f t="shared" si="37"/>
        <v>0.27802207563576103</v>
      </c>
      <c r="BO41" s="383">
        <f t="shared" si="38"/>
        <v>0</v>
      </c>
      <c r="BP41" s="383">
        <f t="shared" si="39"/>
        <v>0.46801896818537353</v>
      </c>
      <c r="BQ41" s="445"/>
      <c r="BR41" s="383">
        <f t="shared" si="40"/>
        <v>5.8704019601472188E-2</v>
      </c>
      <c r="BS41" s="383">
        <f t="shared" si="41"/>
        <v>3.2993130663439368E-2</v>
      </c>
      <c r="BT41" s="383">
        <f t="shared" si="42"/>
        <v>9.050134607214929E-3</v>
      </c>
      <c r="BU41" s="383">
        <f t="shared" si="43"/>
        <v>3.1185327426095852E-2</v>
      </c>
      <c r="BV41" s="383">
        <f t="shared" si="44"/>
        <v>0.18814943792755667</v>
      </c>
      <c r="BW41" s="383">
        <f t="shared" si="94"/>
        <v>0</v>
      </c>
      <c r="BX41" s="385">
        <f t="shared" si="45"/>
        <v>0.32008205022577901</v>
      </c>
      <c r="BY41" s="385"/>
      <c r="CA41" s="383">
        <f t="shared" si="46"/>
        <v>8.5529538722576501E-2</v>
      </c>
      <c r="CB41" s="383">
        <f t="shared" si="47"/>
        <v>4.6836938229991389E-2</v>
      </c>
      <c r="CC41" s="383">
        <f t="shared" si="48"/>
        <v>1.5496624028361121E-2</v>
      </c>
      <c r="CD41" s="383">
        <f t="shared" si="49"/>
        <v>4.4270586784802106E-2</v>
      </c>
      <c r="CE41" s="383">
        <f t="shared" si="50"/>
        <v>0.28016173306778919</v>
      </c>
      <c r="CF41" s="383">
        <f t="shared" si="51"/>
        <v>0</v>
      </c>
      <c r="CG41" s="383">
        <f t="shared" si="52"/>
        <v>0.47229542083352033</v>
      </c>
      <c r="CH41" s="383"/>
      <c r="CI41" s="398"/>
      <c r="CJ41" s="383">
        <f t="shared" si="53"/>
        <v>5.9377171667374287E-2</v>
      </c>
      <c r="CK41" s="383">
        <f t="shared" si="54"/>
        <v>3.3371458999683565E-2</v>
      </c>
      <c r="CL41" s="383">
        <f t="shared" si="55"/>
        <v>9.1292413633618664E-3</v>
      </c>
      <c r="CM41" s="383">
        <f t="shared" si="56"/>
        <v>3.1542925895931849E-2</v>
      </c>
      <c r="CN41" s="383">
        <f t="shared" si="57"/>
        <v>0.18959743568914825</v>
      </c>
      <c r="CO41" s="383">
        <f t="shared" si="58"/>
        <v>0</v>
      </c>
      <c r="CP41" s="383">
        <f t="shared" si="95"/>
        <v>0.32301823361549981</v>
      </c>
      <c r="CR41" s="377">
        <f t="shared" si="59"/>
        <v>3.9380651177499217E-5</v>
      </c>
      <c r="CS41" s="377">
        <f t="shared" si="60"/>
        <v>3.6862234167723617E-6</v>
      </c>
      <c r="CT41" s="377">
        <f t="shared" si="61"/>
        <v>4.6490283569629357E-6</v>
      </c>
      <c r="CU41" s="377">
        <f t="shared" si="62"/>
        <v>8.6646113664802429E-7</v>
      </c>
      <c r="CV41" s="377">
        <f t="shared" si="63"/>
        <v>1.5502110699076928E-5</v>
      </c>
      <c r="CW41" s="377">
        <v>0</v>
      </c>
      <c r="CX41" s="377">
        <f t="shared" si="4"/>
        <v>6.4084474786959482E-5</v>
      </c>
      <c r="CY41" s="377"/>
      <c r="CZ41" s="454"/>
      <c r="DA41" s="377">
        <f t="shared" si="64"/>
        <v>2.7339229466955281E-5</v>
      </c>
      <c r="DB41" s="377">
        <f t="shared" si="65"/>
        <v>2.6264452431205581E-6</v>
      </c>
      <c r="DC41" s="377">
        <f t="shared" si="66"/>
        <v>2.7387966500415151E-6</v>
      </c>
      <c r="DD41" s="377">
        <f t="shared" si="67"/>
        <v>6.1735615924512732E-7</v>
      </c>
      <c r="DE41" s="377">
        <f t="shared" si="68"/>
        <v>1.0490941800403277E-5</v>
      </c>
      <c r="DF41" s="377">
        <v>0</v>
      </c>
      <c r="DG41" s="377">
        <f t="shared" si="69"/>
        <v>4.3812769319765763E-5</v>
      </c>
      <c r="DJ41" s="377">
        <f t="shared" si="70"/>
        <v>3.983222445777317E-5</v>
      </c>
      <c r="DK41" s="377">
        <f t="shared" si="71"/>
        <v>3.7284929057310817E-6</v>
      </c>
      <c r="DL41" s="377">
        <f t="shared" si="72"/>
        <v>4.689665272159894E-6</v>
      </c>
      <c r="DM41" s="377">
        <f t="shared" si="73"/>
        <v>8.7639674426259825E-7</v>
      </c>
      <c r="DN41" s="377">
        <f t="shared" si="74"/>
        <v>1.5621414917252965E-5</v>
      </c>
      <c r="DO41" s="377">
        <f t="shared" si="75"/>
        <v>0</v>
      </c>
      <c r="DP41" s="377">
        <f t="shared" si="96"/>
        <v>6.4748194297179702E-5</v>
      </c>
      <c r="DQ41" s="454"/>
      <c r="DS41" s="377">
        <f t="shared" si="76"/>
        <v>2.7652725185319864E-5</v>
      </c>
      <c r="DT41" s="377">
        <f t="shared" si="77"/>
        <v>2.6565623808121132E-6</v>
      </c>
      <c r="DU41" s="377">
        <f t="shared" si="78"/>
        <v>2.7627363291881826E-6</v>
      </c>
      <c r="DV41" s="377">
        <f t="shared" si="79"/>
        <v>6.2443530947733406E-7</v>
      </c>
      <c r="DW41" s="377">
        <f t="shared" si="80"/>
        <v>1.0571680071063539E-5</v>
      </c>
      <c r="DX41" s="377">
        <f t="shared" si="81"/>
        <v>0</v>
      </c>
      <c r="DY41" s="402">
        <f t="shared" si="97"/>
        <v>4.426813927586103E-5</v>
      </c>
    </row>
    <row r="42" spans="2:129" x14ac:dyDescent="0.15">
      <c r="B42" s="461" t="s">
        <v>588</v>
      </c>
      <c r="C42" s="239">
        <v>33</v>
      </c>
      <c r="D42" s="239">
        <v>95</v>
      </c>
      <c r="E42" s="457">
        <f t="shared" si="5"/>
        <v>4.2999999999999997E-2</v>
      </c>
      <c r="F42" s="378">
        <v>1.12E-2</v>
      </c>
      <c r="G42" s="377">
        <f t="shared" si="6"/>
        <v>0.58860299999999999</v>
      </c>
      <c r="H42" s="377">
        <f t="shared" si="7"/>
        <v>1</v>
      </c>
      <c r="I42" s="377">
        <f t="shared" si="8"/>
        <v>0.86867125000000001</v>
      </c>
      <c r="J42" s="377">
        <f t="shared" si="9"/>
        <v>1</v>
      </c>
      <c r="K42" s="377">
        <f t="shared" si="10"/>
        <v>0.68277947999999999</v>
      </c>
      <c r="L42" s="377"/>
      <c r="N42" s="377">
        <f t="shared" si="82"/>
        <v>8.5715034762387212E-5</v>
      </c>
      <c r="O42" s="377">
        <f t="shared" si="83"/>
        <v>9.4880978602240912E-6</v>
      </c>
      <c r="P42" s="377">
        <f t="shared" si="84"/>
        <v>4.7612753201871205E-6</v>
      </c>
      <c r="Q42" s="377">
        <f t="shared" si="85"/>
        <v>2.4713185124304611E-6</v>
      </c>
      <c r="R42" s="377">
        <f t="shared" si="86"/>
        <v>3.6774530222040465E-5</v>
      </c>
      <c r="S42" s="377">
        <f t="shared" si="87"/>
        <v>0.99986078974332349</v>
      </c>
      <c r="T42" s="377">
        <f t="shared" si="0"/>
        <v>1.0000000000000007</v>
      </c>
      <c r="U42" s="377">
        <f t="shared" si="1"/>
        <v>1.3921025667726935E-4</v>
      </c>
      <c r="V42" s="390"/>
      <c r="W42" s="377"/>
      <c r="X42" s="377">
        <f t="shared" si="11"/>
        <v>5.8166094017203824E-5</v>
      </c>
      <c r="Y42" s="377">
        <f t="shared" si="12"/>
        <v>6.5869221775033704E-6</v>
      </c>
      <c r="Z42" s="377">
        <f t="shared" si="13"/>
        <v>2.6932838281965725E-6</v>
      </c>
      <c r="AA42" s="377">
        <f t="shared" si="14"/>
        <v>1.715663450884599E-6</v>
      </c>
      <c r="AB42" s="377">
        <f t="shared" si="15"/>
        <v>2.4220082910915928E-5</v>
      </c>
      <c r="AC42" s="377">
        <f t="shared" si="16"/>
        <v>0.99990661795361602</v>
      </c>
      <c r="AD42" s="377">
        <f t="shared" si="17"/>
        <v>1.0000000000000007</v>
      </c>
      <c r="AE42" s="377">
        <f t="shared" si="18"/>
        <v>9.33820463847043E-5</v>
      </c>
      <c r="AF42" s="377"/>
      <c r="AG42" s="390"/>
      <c r="AH42" s="377">
        <f t="shared" si="19"/>
        <v>0.53101666725000007</v>
      </c>
      <c r="AI42" s="377">
        <f t="shared" si="20"/>
        <v>0.49128501637500005</v>
      </c>
      <c r="AJ42" s="377">
        <f t="shared" si="21"/>
        <v>0.51777278362500001</v>
      </c>
      <c r="AK42" s="377">
        <f t="shared" si="22"/>
        <v>0.44335477087500008</v>
      </c>
      <c r="AL42" s="377">
        <f t="shared" si="23"/>
        <v>0.44335477087500008</v>
      </c>
      <c r="AM42" s="377">
        <v>0</v>
      </c>
      <c r="AN42" s="382"/>
      <c r="AP42" s="377">
        <f t="shared" si="24"/>
        <v>8.6697918951934676E-5</v>
      </c>
      <c r="AQ42" s="377">
        <f t="shared" si="25"/>
        <v>9.5968967588250794E-6</v>
      </c>
      <c r="AR42" s="377">
        <f t="shared" si="26"/>
        <v>4.8028933802546676E-6</v>
      </c>
      <c r="AS42" s="377">
        <f t="shared" si="27"/>
        <v>2.4996568302056023E-6</v>
      </c>
      <c r="AT42" s="377">
        <f t="shared" si="28"/>
        <v>3.7057546945511079E-5</v>
      </c>
      <c r="AU42" s="377">
        <f t="shared" si="29"/>
        <v>0.99985934508713359</v>
      </c>
      <c r="AV42" s="377">
        <f t="shared" si="2"/>
        <v>1.0000000000000002</v>
      </c>
      <c r="AW42" s="377">
        <f t="shared" si="3"/>
        <v>1.4065491286673108E-4</v>
      </c>
      <c r="AX42" s="389"/>
      <c r="AY42" s="377">
        <f t="shared" si="88"/>
        <v>5.8833077753904441E-5</v>
      </c>
      <c r="AZ42" s="377">
        <f t="shared" si="89"/>
        <v>6.6624536368791356E-6</v>
      </c>
      <c r="BA42" s="377">
        <f t="shared" si="90"/>
        <v>2.7168256821333939E-6</v>
      </c>
      <c r="BB42" s="377">
        <f t="shared" si="91"/>
        <v>1.7353367612336354E-6</v>
      </c>
      <c r="BC42" s="377">
        <f t="shared" si="92"/>
        <v>2.4406480628745258E-5</v>
      </c>
      <c r="BD42" s="377">
        <f t="shared" si="93"/>
        <v>0.99990564582553743</v>
      </c>
      <c r="BE42" s="377">
        <f t="shared" si="31"/>
        <v>1.0000000000000002</v>
      </c>
      <c r="BF42" s="377">
        <f t="shared" si="32"/>
        <v>9.4354174462895856E-5</v>
      </c>
      <c r="BG42" s="452"/>
      <c r="BH42" s="453"/>
      <c r="BJ42" s="383">
        <f t="shared" si="33"/>
        <v>3.173733225082568E-2</v>
      </c>
      <c r="BK42" s="383">
        <f t="shared" si="34"/>
        <v>1.9014790337922489E-2</v>
      </c>
      <c r="BL42" s="383">
        <f t="shared" si="35"/>
        <v>2.645339733398797E-3</v>
      </c>
      <c r="BM42" s="383">
        <f t="shared" si="36"/>
        <v>1.7972906805227104E-2</v>
      </c>
      <c r="BN42" s="383">
        <f t="shared" si="37"/>
        <v>9.4953430163625493E-2</v>
      </c>
      <c r="BO42" s="383">
        <f t="shared" si="38"/>
        <v>0</v>
      </c>
      <c r="BP42" s="383">
        <f t="shared" si="39"/>
        <v>0.16632379929099955</v>
      </c>
      <c r="BQ42" s="445"/>
      <c r="BR42" s="383">
        <f t="shared" si="40"/>
        <v>2.1536906059411932E-2</v>
      </c>
      <c r="BS42" s="383">
        <f t="shared" si="41"/>
        <v>1.3200637896295928E-2</v>
      </c>
      <c r="BT42" s="383">
        <f t="shared" si="42"/>
        <v>1.4963744469556968E-3</v>
      </c>
      <c r="BU42" s="383">
        <f t="shared" si="43"/>
        <v>1.2477331091392813E-2</v>
      </c>
      <c r="BV42" s="383">
        <f t="shared" si="44"/>
        <v>6.2537303327957233E-2</v>
      </c>
      <c r="BW42" s="383">
        <f t="shared" si="94"/>
        <v>0</v>
      </c>
      <c r="BX42" s="385">
        <f t="shared" si="45"/>
        <v>0.1112485528220136</v>
      </c>
      <c r="BY42" s="385"/>
      <c r="CA42" s="383">
        <f t="shared" si="46"/>
        <v>3.2101260494852242E-2</v>
      </c>
      <c r="CB42" s="383">
        <f t="shared" si="47"/>
        <v>1.9232830695049014E-2</v>
      </c>
      <c r="CC42" s="383">
        <f t="shared" si="48"/>
        <v>2.6684625104952766E-3</v>
      </c>
      <c r="CD42" s="383">
        <f t="shared" si="49"/>
        <v>1.8179000006822807E-2</v>
      </c>
      <c r="CE42" s="383">
        <f t="shared" si="50"/>
        <v>9.5684191604354887E-2</v>
      </c>
      <c r="CF42" s="383">
        <f t="shared" si="51"/>
        <v>0</v>
      </c>
      <c r="CG42" s="383">
        <f t="shared" si="52"/>
        <v>0.16786574531157422</v>
      </c>
      <c r="CH42" s="383"/>
      <c r="CI42" s="398"/>
      <c r="CJ42" s="383">
        <f t="shared" si="53"/>
        <v>2.1783867219915987E-2</v>
      </c>
      <c r="CK42" s="383">
        <f t="shared" si="54"/>
        <v>1.3352008053423877E-2</v>
      </c>
      <c r="CL42" s="383">
        <f t="shared" si="55"/>
        <v>1.5094541782102418E-3</v>
      </c>
      <c r="CM42" s="383">
        <f t="shared" si="56"/>
        <v>1.2620407174736599E-2</v>
      </c>
      <c r="CN42" s="383">
        <f t="shared" si="57"/>
        <v>6.3018590310433997E-2</v>
      </c>
      <c r="CO42" s="383">
        <f t="shared" si="58"/>
        <v>0</v>
      </c>
      <c r="CP42" s="383">
        <f t="shared" si="95"/>
        <v>0.11228432693672069</v>
      </c>
      <c r="CR42" s="377">
        <f t="shared" si="59"/>
        <v>1.462627097375689E-5</v>
      </c>
      <c r="CS42" s="377">
        <f t="shared" si="60"/>
        <v>1.4978941720658042E-6</v>
      </c>
      <c r="CT42" s="377">
        <f t="shared" si="61"/>
        <v>7.9219294492382076E-7</v>
      </c>
      <c r="CU42" s="377">
        <f t="shared" si="62"/>
        <v>3.5208584509589873E-7</v>
      </c>
      <c r="CV42" s="377">
        <f t="shared" si="63"/>
        <v>5.239224117047565E-6</v>
      </c>
      <c r="CW42" s="377">
        <v>0</v>
      </c>
      <c r="CX42" s="377">
        <f t="shared" si="4"/>
        <v>2.2507668052889978E-5</v>
      </c>
      <c r="CY42" s="377"/>
      <c r="CZ42" s="454"/>
      <c r="DA42" s="377">
        <f t="shared" si="64"/>
        <v>9.9253655433849654E-6</v>
      </c>
      <c r="DB42" s="377">
        <f t="shared" si="65"/>
        <v>1.0398830710732432E-6</v>
      </c>
      <c r="DC42" s="377">
        <f t="shared" si="66"/>
        <v>4.4811532706974248E-7</v>
      </c>
      <c r="DD42" s="377">
        <f t="shared" si="67"/>
        <v>2.4442855624092574E-7</v>
      </c>
      <c r="DE42" s="377">
        <f t="shared" si="68"/>
        <v>3.4506067579269669E-6</v>
      </c>
      <c r="DF42" s="377">
        <v>0</v>
      </c>
      <c r="DG42" s="377">
        <f t="shared" si="69"/>
        <v>1.5108399255695845E-5</v>
      </c>
      <c r="DJ42" s="377">
        <f t="shared" si="70"/>
        <v>1.4793988697164394E-5</v>
      </c>
      <c r="DK42" s="377">
        <f t="shared" si="71"/>
        <v>1.5150703477906348E-6</v>
      </c>
      <c r="DL42" s="377">
        <f t="shared" si="72"/>
        <v>7.9911746227469525E-7</v>
      </c>
      <c r="DM42" s="377">
        <f t="shared" si="73"/>
        <v>3.5612317193672103E-7</v>
      </c>
      <c r="DN42" s="377">
        <f t="shared" si="74"/>
        <v>5.2795451771449238E-6</v>
      </c>
      <c r="DO42" s="377">
        <f t="shared" si="75"/>
        <v>0</v>
      </c>
      <c r="DP42" s="377">
        <f t="shared" si="96"/>
        <v>2.2743844856311371E-5</v>
      </c>
      <c r="DQ42" s="454"/>
      <c r="DS42" s="377">
        <f t="shared" si="76"/>
        <v>1.003917853891271E-5</v>
      </c>
      <c r="DT42" s="377">
        <f t="shared" si="77"/>
        <v>1.0518072875466925E-6</v>
      </c>
      <c r="DU42" s="377">
        <f t="shared" si="78"/>
        <v>4.5203227984920158E-7</v>
      </c>
      <c r="DV42" s="377">
        <f t="shared" si="79"/>
        <v>2.4723138965362989E-7</v>
      </c>
      <c r="DW42" s="377">
        <f t="shared" si="80"/>
        <v>3.4771626218011646E-6</v>
      </c>
      <c r="DX42" s="377">
        <f t="shared" si="81"/>
        <v>0</v>
      </c>
      <c r="DY42" s="402">
        <f t="shared" si="97"/>
        <v>1.5267412117763399E-5</v>
      </c>
    </row>
    <row r="43" spans="2:129" x14ac:dyDescent="0.15">
      <c r="B43" s="461" t="s">
        <v>588</v>
      </c>
      <c r="C43" s="239">
        <v>34</v>
      </c>
      <c r="D43" s="239">
        <v>96</v>
      </c>
      <c r="E43" s="457">
        <f t="shared" si="5"/>
        <v>4.2999999999999997E-2</v>
      </c>
      <c r="F43" s="378">
        <v>1.12E-2</v>
      </c>
      <c r="G43" s="377">
        <f t="shared" si="6"/>
        <v>0.62420850000000005</v>
      </c>
      <c r="H43" s="377">
        <f t="shared" si="7"/>
        <v>1</v>
      </c>
      <c r="I43" s="377">
        <f t="shared" si="8"/>
        <v>0.92207950000000005</v>
      </c>
      <c r="J43" s="377">
        <f t="shared" si="9"/>
        <v>1</v>
      </c>
      <c r="K43" s="377">
        <f t="shared" si="10"/>
        <v>0.72408185999999997</v>
      </c>
      <c r="L43" s="377"/>
      <c r="N43" s="377">
        <f t="shared" si="82"/>
        <v>3.061715327202043E-5</v>
      </c>
      <c r="O43" s="377">
        <f t="shared" si="83"/>
        <v>3.68574649478265E-6</v>
      </c>
      <c r="P43" s="377">
        <f t="shared" si="84"/>
        <v>6.2529233620602458E-7</v>
      </c>
      <c r="Q43" s="377">
        <f t="shared" si="85"/>
        <v>9.6000838933873669E-7</v>
      </c>
      <c r="R43" s="377">
        <f t="shared" si="86"/>
        <v>1.166563559979139E-5</v>
      </c>
      <c r="S43" s="377">
        <f t="shared" si="87"/>
        <v>0.99995244616390866</v>
      </c>
      <c r="T43" s="377">
        <f t="shared" si="0"/>
        <v>1.0000000000000009</v>
      </c>
      <c r="U43" s="377">
        <f t="shared" si="1"/>
        <v>4.7553836092139231E-5</v>
      </c>
      <c r="V43" s="390"/>
      <c r="W43" s="377"/>
      <c r="X43" s="377">
        <f t="shared" si="11"/>
        <v>2.0231684759249693E-5</v>
      </c>
      <c r="Y43" s="377">
        <f t="shared" si="12"/>
        <v>2.5011420427397642E-6</v>
      </c>
      <c r="Z43" s="377">
        <f t="shared" si="13"/>
        <v>3.3700771384468305E-7</v>
      </c>
      <c r="AA43" s="377">
        <f t="shared" si="14"/>
        <v>6.5146025299268275E-7</v>
      </c>
      <c r="AB43" s="377">
        <f t="shared" si="15"/>
        <v>7.4421980382018077E-6</v>
      </c>
      <c r="AC43" s="377">
        <f t="shared" si="16"/>
        <v>0.9999688365071937</v>
      </c>
      <c r="AD43" s="377">
        <f t="shared" si="17"/>
        <v>1.0000000000000007</v>
      </c>
      <c r="AE43" s="377">
        <f t="shared" si="18"/>
        <v>3.116349280702863E-5</v>
      </c>
      <c r="AF43" s="377"/>
      <c r="AG43" s="390"/>
      <c r="AH43" s="377">
        <f t="shared" si="19"/>
        <v>0.52536171105000007</v>
      </c>
      <c r="AI43" s="377">
        <f t="shared" si="20"/>
        <v>0.48605317447500007</v>
      </c>
      <c r="AJ43" s="377">
        <f t="shared" si="21"/>
        <v>0.51225886552500011</v>
      </c>
      <c r="AK43" s="377">
        <f t="shared" si="22"/>
        <v>0.43863335257500008</v>
      </c>
      <c r="AL43" s="377">
        <f t="shared" si="23"/>
        <v>0.43863335257500008</v>
      </c>
      <c r="AM43" s="377">
        <v>0</v>
      </c>
      <c r="AN43" s="382"/>
      <c r="AP43" s="377">
        <f t="shared" si="24"/>
        <v>3.0968236555874212E-5</v>
      </c>
      <c r="AQ43" s="377">
        <f t="shared" si="25"/>
        <v>3.728010514933191E-6</v>
      </c>
      <c r="AR43" s="377">
        <f t="shared" si="26"/>
        <v>6.3075798401212021E-7</v>
      </c>
      <c r="AS43" s="377">
        <f t="shared" si="27"/>
        <v>9.7101669226166826E-7</v>
      </c>
      <c r="AT43" s="377">
        <f t="shared" si="28"/>
        <v>1.1755414311979437E-5</v>
      </c>
      <c r="AU43" s="377">
        <f t="shared" si="29"/>
        <v>0.99995194656394126</v>
      </c>
      <c r="AV43" s="377">
        <f t="shared" si="2"/>
        <v>1.0000000000000002</v>
      </c>
      <c r="AW43" s="377">
        <f t="shared" si="3"/>
        <v>4.8053436059060634E-5</v>
      </c>
      <c r="AX43" s="389"/>
      <c r="AY43" s="377">
        <f t="shared" si="88"/>
        <v>2.0463679101116314E-5</v>
      </c>
      <c r="AZ43" s="377">
        <f t="shared" si="89"/>
        <v>2.5298223434178911E-6</v>
      </c>
      <c r="BA43" s="377">
        <f t="shared" si="90"/>
        <v>3.3995348075266828E-7</v>
      </c>
      <c r="BB43" s="377">
        <f t="shared" si="91"/>
        <v>6.5893047084372967E-7</v>
      </c>
      <c r="BC43" s="377">
        <f t="shared" si="92"/>
        <v>7.4994731819350913E-6</v>
      </c>
      <c r="BD43" s="377">
        <f t="shared" si="93"/>
        <v>0.99996850814142224</v>
      </c>
      <c r="BE43" s="377">
        <f t="shared" si="31"/>
        <v>1.0000000000000002</v>
      </c>
      <c r="BF43" s="377">
        <f t="shared" si="32"/>
        <v>3.1491858578065693E-5</v>
      </c>
      <c r="BG43" s="452"/>
      <c r="BH43" s="453"/>
      <c r="BJ43" s="383">
        <f t="shared" si="33"/>
        <v>1.0953120645408872E-2</v>
      </c>
      <c r="BK43" s="383">
        <f t="shared" si="34"/>
        <v>7.136700922385864E-3</v>
      </c>
      <c r="BL43" s="383">
        <f t="shared" si="35"/>
        <v>3.3566102464985259E-4</v>
      </c>
      <c r="BM43" s="383">
        <f t="shared" si="36"/>
        <v>6.7456573696217589E-3</v>
      </c>
      <c r="BN43" s="383">
        <f t="shared" si="37"/>
        <v>2.9102585982887886E-2</v>
      </c>
      <c r="BO43" s="383">
        <f t="shared" si="38"/>
        <v>0</v>
      </c>
      <c r="BP43" s="383">
        <f t="shared" si="39"/>
        <v>5.4273725944954235E-2</v>
      </c>
      <c r="BQ43" s="445"/>
      <c r="BR43" s="383">
        <f t="shared" si="40"/>
        <v>7.2377755717234395E-3</v>
      </c>
      <c r="BS43" s="383">
        <f t="shared" si="41"/>
        <v>4.8429545408796631E-3</v>
      </c>
      <c r="BT43" s="383">
        <f t="shared" si="42"/>
        <v>1.8090794976054068E-4</v>
      </c>
      <c r="BU43" s="383">
        <f t="shared" si="43"/>
        <v>4.5775929725392715E-3</v>
      </c>
      <c r="BV43" s="383">
        <f t="shared" si="44"/>
        <v>1.8566258688238191E-2</v>
      </c>
      <c r="BW43" s="383">
        <f t="shared" si="94"/>
        <v>0</v>
      </c>
      <c r="BX43" s="385">
        <f t="shared" si="45"/>
        <v>3.5405489723141101E-2</v>
      </c>
      <c r="BY43" s="385"/>
      <c r="CA43" s="383">
        <f t="shared" si="46"/>
        <v>1.1078718787420038E-2</v>
      </c>
      <c r="CB43" s="383">
        <f t="shared" si="47"/>
        <v>7.2185366297572379E-3</v>
      </c>
      <c r="CC43" s="383">
        <f t="shared" si="48"/>
        <v>3.3859502021759097E-4</v>
      </c>
      <c r="CD43" s="383">
        <f t="shared" si="49"/>
        <v>6.823009026715351E-3</v>
      </c>
      <c r="CE43" s="383">
        <f t="shared" si="50"/>
        <v>2.9326559436244536E-2</v>
      </c>
      <c r="CF43" s="383">
        <f t="shared" si="51"/>
        <v>0</v>
      </c>
      <c r="CG43" s="383">
        <f t="shared" si="52"/>
        <v>5.4785418900354751E-2</v>
      </c>
      <c r="CH43" s="383"/>
      <c r="CI43" s="398"/>
      <c r="CJ43" s="383">
        <f t="shared" si="53"/>
        <v>7.3207702901723123E-3</v>
      </c>
      <c r="CK43" s="383">
        <f t="shared" si="54"/>
        <v>4.8984881291483174E-3</v>
      </c>
      <c r="CL43" s="383">
        <f t="shared" si="55"/>
        <v>1.8248925674522784E-4</v>
      </c>
      <c r="CM43" s="383">
        <f t="shared" si="56"/>
        <v>4.6300836910154975E-3</v>
      </c>
      <c r="CN43" s="383">
        <f t="shared" si="57"/>
        <v>1.8709144584246291E-2</v>
      </c>
      <c r="CO43" s="383">
        <f t="shared" si="58"/>
        <v>0</v>
      </c>
      <c r="CP43" s="383">
        <f t="shared" si="95"/>
        <v>3.574097595132765E-2</v>
      </c>
      <c r="CR43" s="377">
        <f t="shared" si="59"/>
        <v>4.9940321410071748E-6</v>
      </c>
      <c r="CS43" s="377">
        <f t="shared" si="60"/>
        <v>5.5620815503905045E-7</v>
      </c>
      <c r="CT43" s="377">
        <f t="shared" si="61"/>
        <v>9.9449063149252707E-8</v>
      </c>
      <c r="CU43" s="377">
        <f t="shared" si="62"/>
        <v>1.3073888794565091E-7</v>
      </c>
      <c r="CV43" s="377">
        <f t="shared" si="63"/>
        <v>1.588686351529139E-6</v>
      </c>
      <c r="CW43" s="377">
        <v>0</v>
      </c>
      <c r="CX43" s="377">
        <f t="shared" si="4"/>
        <v>7.3691145986702674E-6</v>
      </c>
      <c r="CY43" s="377"/>
      <c r="CZ43" s="454"/>
      <c r="DA43" s="377">
        <f t="shared" si="64"/>
        <v>3.3000352141409414E-6</v>
      </c>
      <c r="DB43" s="377">
        <f t="shared" si="65"/>
        <v>3.7744201969726713E-7</v>
      </c>
      <c r="DC43" s="377">
        <f t="shared" si="66"/>
        <v>5.3599091937187026E-8</v>
      </c>
      <c r="DD43" s="377">
        <f t="shared" si="67"/>
        <v>8.8719213251586792E-8</v>
      </c>
      <c r="DE43" s="377">
        <f t="shared" si="68"/>
        <v>1.0135168673432226E-6</v>
      </c>
      <c r="DF43" s="377">
        <v>0</v>
      </c>
      <c r="DG43" s="377">
        <f t="shared" si="69"/>
        <v>4.8333124063702045E-6</v>
      </c>
      <c r="DJ43" s="377">
        <f t="shared" si="70"/>
        <v>5.0512981182898644E-6</v>
      </c>
      <c r="DK43" s="377">
        <f t="shared" si="71"/>
        <v>5.6258612832227602E-7</v>
      </c>
      <c r="DL43" s="377">
        <f t="shared" si="72"/>
        <v>1.0031834224056222E-7</v>
      </c>
      <c r="DM43" s="377">
        <f t="shared" si="73"/>
        <v>1.3223805534699442E-7</v>
      </c>
      <c r="DN43" s="377">
        <f t="shared" si="74"/>
        <v>1.6009128790501562E-6</v>
      </c>
      <c r="DO43" s="377">
        <f t="shared" si="75"/>
        <v>0</v>
      </c>
      <c r="DP43" s="377">
        <f t="shared" si="96"/>
        <v>7.4473535232498528E-6</v>
      </c>
      <c r="DQ43" s="454"/>
      <c r="DS43" s="377">
        <f t="shared" si="76"/>
        <v>3.3378763285489387E-6</v>
      </c>
      <c r="DT43" s="377">
        <f t="shared" si="77"/>
        <v>3.81770102800304E-7</v>
      </c>
      <c r="DU43" s="377">
        <f t="shared" si="78"/>
        <v>5.4067598813558969E-8</v>
      </c>
      <c r="DV43" s="377">
        <f t="shared" si="79"/>
        <v>8.9736546001387386E-8</v>
      </c>
      <c r="DW43" s="377">
        <f t="shared" si="80"/>
        <v>1.0213168914698602E-6</v>
      </c>
      <c r="DX43" s="377">
        <f t="shared" si="81"/>
        <v>0</v>
      </c>
      <c r="DY43" s="402">
        <f t="shared" si="97"/>
        <v>4.8847674676340491E-6</v>
      </c>
    </row>
    <row r="44" spans="2:129" x14ac:dyDescent="0.15">
      <c r="B44" s="461" t="s">
        <v>588</v>
      </c>
      <c r="C44" s="239">
        <v>35</v>
      </c>
      <c r="D44" s="239">
        <v>97</v>
      </c>
      <c r="E44" s="457">
        <f t="shared" si="5"/>
        <v>4.2999999999999997E-2</v>
      </c>
      <c r="F44" s="378">
        <v>1.12E-2</v>
      </c>
      <c r="G44" s="377">
        <f t="shared" si="6"/>
        <v>0.66786449999999997</v>
      </c>
      <c r="H44" s="377">
        <f t="shared" si="7"/>
        <v>1</v>
      </c>
      <c r="I44" s="377">
        <f t="shared" si="8"/>
        <v>0.98756349999999993</v>
      </c>
      <c r="J44" s="377">
        <f t="shared" si="9"/>
        <v>1</v>
      </c>
      <c r="K44" s="377">
        <f t="shared" si="10"/>
        <v>0.77472281999999992</v>
      </c>
      <c r="L44" s="377"/>
      <c r="N44" s="377">
        <f t="shared" si="82"/>
        <v>9.8462162464789587E-6</v>
      </c>
      <c r="O44" s="377">
        <f t="shared" si="83"/>
        <v>1.3165375906968784E-6</v>
      </c>
      <c r="P44" s="377">
        <f t="shared" si="84"/>
        <v>4.8723091483341529E-8</v>
      </c>
      <c r="Q44" s="377">
        <f t="shared" si="85"/>
        <v>3.4291211664662881E-7</v>
      </c>
      <c r="R44" s="377">
        <f t="shared" si="86"/>
        <v>3.218760476612225E-6</v>
      </c>
      <c r="S44" s="377">
        <f t="shared" si="87"/>
        <v>0.99998522685047875</v>
      </c>
      <c r="T44" s="377">
        <f t="shared" si="0"/>
        <v>1.0000000000000007</v>
      </c>
      <c r="U44" s="377">
        <f t="shared" si="1"/>
        <v>1.4773149521918033E-5</v>
      </c>
      <c r="V44" s="390"/>
      <c r="W44" s="377"/>
      <c r="X44" s="377">
        <f t="shared" si="11"/>
        <v>6.2914146410261052E-6</v>
      </c>
      <c r="Y44" s="377">
        <f t="shared" si="12"/>
        <v>8.6996244464773675E-7</v>
      </c>
      <c r="Z44" s="377">
        <f t="shared" si="13"/>
        <v>2.4664518105287054E-8</v>
      </c>
      <c r="AA44" s="377">
        <f t="shared" si="14"/>
        <v>2.2659486930359657E-7</v>
      </c>
      <c r="AB44" s="377">
        <f t="shared" si="15"/>
        <v>1.9719368799394419E-6</v>
      </c>
      <c r="AC44" s="377">
        <f t="shared" si="16"/>
        <v>0.99999061542664758</v>
      </c>
      <c r="AD44" s="377">
        <f t="shared" si="17"/>
        <v>1.0000000000000004</v>
      </c>
      <c r="AE44" s="377">
        <f t="shared" si="18"/>
        <v>9.3845733530221678E-6</v>
      </c>
      <c r="AF44" s="377"/>
      <c r="AG44" s="390"/>
      <c r="AH44" s="377">
        <f t="shared" si="19"/>
        <v>0.51965084605</v>
      </c>
      <c r="AI44" s="377">
        <f t="shared" si="20"/>
        <v>0.48076960697499999</v>
      </c>
      <c r="AJ44" s="377">
        <f t="shared" si="21"/>
        <v>0.50669043302499994</v>
      </c>
      <c r="AK44" s="377">
        <f t="shared" si="22"/>
        <v>0.43386525507500001</v>
      </c>
      <c r="AL44" s="377">
        <f t="shared" si="23"/>
        <v>0.43386525507500001</v>
      </c>
      <c r="AM44" s="377">
        <v>0</v>
      </c>
      <c r="AN44" s="382"/>
      <c r="AP44" s="377">
        <f t="shared" si="24"/>
        <v>9.9591216463584195E-6</v>
      </c>
      <c r="AQ44" s="377">
        <f t="shared" si="25"/>
        <v>1.331634171902591E-6</v>
      </c>
      <c r="AR44" s="377">
        <f t="shared" si="26"/>
        <v>4.9148977493216361E-8</v>
      </c>
      <c r="AS44" s="377">
        <f t="shared" si="27"/>
        <v>3.4684424942579119E-7</v>
      </c>
      <c r="AT44" s="377">
        <f t="shared" si="28"/>
        <v>3.2435320518907456E-6</v>
      </c>
      <c r="AU44" s="377">
        <f t="shared" si="29"/>
        <v>0.99998506971890333</v>
      </c>
      <c r="AV44" s="377">
        <f t="shared" si="2"/>
        <v>1.0000000000000004</v>
      </c>
      <c r="AW44" s="377">
        <f t="shared" si="3"/>
        <v>1.4930281097070763E-5</v>
      </c>
      <c r="AX44" s="389"/>
      <c r="AY44" s="377">
        <f t="shared" si="88"/>
        <v>6.3635575503499355E-6</v>
      </c>
      <c r="AZ44" s="377">
        <f t="shared" si="89"/>
        <v>8.7993820134800149E-7</v>
      </c>
      <c r="BA44" s="377">
        <f t="shared" si="90"/>
        <v>2.4880109375905374E-8</v>
      </c>
      <c r="BB44" s="377">
        <f t="shared" si="91"/>
        <v>2.2919320593250274E-7</v>
      </c>
      <c r="BC44" s="377">
        <f t="shared" si="92"/>
        <v>1.9871129028901533E-6</v>
      </c>
      <c r="BD44" s="377">
        <f t="shared" si="93"/>
        <v>0.99999051531803052</v>
      </c>
      <c r="BE44" s="377">
        <f t="shared" si="31"/>
        <v>1.0000000000000004</v>
      </c>
      <c r="BF44" s="377">
        <f t="shared" si="32"/>
        <v>9.4846819698964981E-6</v>
      </c>
      <c r="BG44" s="452"/>
      <c r="BH44" s="453"/>
      <c r="BJ44" s="383">
        <f t="shared" si="33"/>
        <v>3.4033144908579786E-3</v>
      </c>
      <c r="BK44" s="383">
        <f t="shared" si="34"/>
        <v>2.4630030525347479E-3</v>
      </c>
      <c r="BL44" s="383">
        <f t="shared" si="35"/>
        <v>2.5270410503602736E-5</v>
      </c>
      <c r="BM44" s="383">
        <f t="shared" si="36"/>
        <v>2.328046932808487E-3</v>
      </c>
      <c r="BN44" s="383">
        <f t="shared" si="37"/>
        <v>7.7583878198922689E-3</v>
      </c>
      <c r="BO44" s="383">
        <f t="shared" si="38"/>
        <v>0</v>
      </c>
      <c r="BP44" s="383">
        <f t="shared" si="39"/>
        <v>1.5978022706597084E-2</v>
      </c>
      <c r="BQ44" s="445"/>
      <c r="BR44" s="383">
        <f t="shared" si="40"/>
        <v>2.174608202765918E-3</v>
      </c>
      <c r="BS44" s="383">
        <f t="shared" si="41"/>
        <v>1.6275419493519878E-3</v>
      </c>
      <c r="BT44" s="383">
        <f t="shared" si="42"/>
        <v>1.2792342981915398E-5</v>
      </c>
      <c r="BU44" s="383">
        <f t="shared" si="43"/>
        <v>1.5383635190003837E-3</v>
      </c>
      <c r="BV44" s="383">
        <f t="shared" si="44"/>
        <v>4.753087774651975E-3</v>
      </c>
      <c r="BW44" s="383">
        <f t="shared" si="94"/>
        <v>0</v>
      </c>
      <c r="BX44" s="385">
        <f t="shared" si="45"/>
        <v>1.010639378875218E-2</v>
      </c>
      <c r="BY44" s="385"/>
      <c r="CA44" s="383">
        <f t="shared" si="46"/>
        <v>3.4423398965454976E-3</v>
      </c>
      <c r="CB44" s="383">
        <f t="shared" si="47"/>
        <v>2.4912460179124605E-3</v>
      </c>
      <c r="CC44" s="383">
        <f t="shared" si="48"/>
        <v>2.5491297848178525E-5</v>
      </c>
      <c r="CD44" s="383">
        <f t="shared" si="49"/>
        <v>2.3547423722856463E-3</v>
      </c>
      <c r="CE44" s="383">
        <f t="shared" si="50"/>
        <v>7.8180963596599425E-3</v>
      </c>
      <c r="CF44" s="383">
        <f t="shared" si="51"/>
        <v>0</v>
      </c>
      <c r="CG44" s="383">
        <f t="shared" si="52"/>
        <v>1.6131915944251726E-2</v>
      </c>
      <c r="CH44" s="383"/>
      <c r="CI44" s="398"/>
      <c r="CJ44" s="383">
        <f t="shared" si="53"/>
        <v>2.1995441784309097E-3</v>
      </c>
      <c r="CK44" s="383">
        <f t="shared" si="54"/>
        <v>1.6462047808409775E-3</v>
      </c>
      <c r="CL44" s="383">
        <f t="shared" si="55"/>
        <v>1.29041601869337E-5</v>
      </c>
      <c r="CM44" s="383">
        <f t="shared" si="56"/>
        <v>1.5560037519512728E-3</v>
      </c>
      <c r="CN44" s="383">
        <f t="shared" si="57"/>
        <v>4.7896675302662008E-3</v>
      </c>
      <c r="CO44" s="383">
        <f t="shared" si="58"/>
        <v>0</v>
      </c>
      <c r="CP44" s="383">
        <f t="shared" si="95"/>
        <v>1.0204324401676294E-2</v>
      </c>
      <c r="CR44" s="377">
        <f t="shared" si="59"/>
        <v>1.5348599913471447E-6</v>
      </c>
      <c r="CS44" s="377">
        <f t="shared" si="60"/>
        <v>1.8987073257151116E-7</v>
      </c>
      <c r="CT44" s="377">
        <f t="shared" si="61"/>
        <v>7.4056860682259151E-9</v>
      </c>
      <c r="CU44" s="377">
        <f t="shared" si="62"/>
        <v>4.4629853418964392E-8</v>
      </c>
      <c r="CV44" s="377">
        <f t="shared" si="63"/>
        <v>4.1892018767594006E-7</v>
      </c>
      <c r="CW44" s="377">
        <v>0</v>
      </c>
      <c r="CX44" s="377">
        <f t="shared" si="4"/>
        <v>2.1956864510817862E-6</v>
      </c>
      <c r="CY44" s="377"/>
      <c r="CZ44" s="454"/>
      <c r="DA44" s="377">
        <f t="shared" si="64"/>
        <v>9.8072603523610438E-7</v>
      </c>
      <c r="DB44" s="377">
        <f t="shared" si="65"/>
        <v>1.2546577313264114E-7</v>
      </c>
      <c r="DC44" s="377">
        <f t="shared" si="66"/>
        <v>3.7488934415067032E-9</v>
      </c>
      <c r="DD44" s="377">
        <f t="shared" si="67"/>
        <v>2.9491217462374645E-8</v>
      </c>
      <c r="DE44" s="377">
        <f t="shared" si="68"/>
        <v>2.5664667310032334E-7</v>
      </c>
      <c r="DF44" s="377">
        <v>0</v>
      </c>
      <c r="DG44" s="377">
        <f t="shared" si="69"/>
        <v>1.3960785923729502E-6</v>
      </c>
      <c r="DJ44" s="377">
        <f t="shared" si="70"/>
        <v>1.5524600497598375E-6</v>
      </c>
      <c r="DK44" s="377">
        <f t="shared" si="71"/>
        <v>1.9204795785782958E-7</v>
      </c>
      <c r="DL44" s="377">
        <f t="shared" si="72"/>
        <v>7.4704187851771926E-9</v>
      </c>
      <c r="DM44" s="377">
        <f t="shared" si="73"/>
        <v>4.5141618681953821E-8</v>
      </c>
      <c r="DN44" s="377">
        <f t="shared" si="74"/>
        <v>4.2214419674406081E-7</v>
      </c>
      <c r="DO44" s="377">
        <f t="shared" si="75"/>
        <v>0</v>
      </c>
      <c r="DP44" s="377">
        <f t="shared" si="96"/>
        <v>2.2192642418288589E-6</v>
      </c>
      <c r="DQ44" s="454"/>
      <c r="DS44" s="377">
        <f t="shared" si="76"/>
        <v>9.9197190495993135E-7</v>
      </c>
      <c r="DT44" s="377">
        <f t="shared" si="77"/>
        <v>1.2690447434863287E-7</v>
      </c>
      <c r="DU44" s="377">
        <f t="shared" si="78"/>
        <v>3.7816623241995248E-9</v>
      </c>
      <c r="DV44" s="377">
        <f t="shared" si="79"/>
        <v>2.9829389773155683E-8</v>
      </c>
      <c r="DW44" s="377">
        <f t="shared" si="80"/>
        <v>2.5862182546996403E-7</v>
      </c>
      <c r="DX44" s="377">
        <f t="shared" si="81"/>
        <v>0</v>
      </c>
      <c r="DY44" s="402">
        <f t="shared" si="97"/>
        <v>1.4111092568758836E-6</v>
      </c>
    </row>
    <row r="45" spans="2:129" x14ac:dyDescent="0.15">
      <c r="B45" s="461" t="s">
        <v>588</v>
      </c>
      <c r="C45" s="239">
        <v>36</v>
      </c>
      <c r="D45" s="239">
        <v>98</v>
      </c>
      <c r="E45" s="457">
        <f t="shared" si="5"/>
        <v>4.2999999999999997E-2</v>
      </c>
      <c r="F45" s="378">
        <v>1.12E-2</v>
      </c>
      <c r="G45" s="377">
        <f t="shared" si="6"/>
        <v>0.68307600000000002</v>
      </c>
      <c r="H45" s="377">
        <f t="shared" si="7"/>
        <v>1</v>
      </c>
      <c r="I45" s="377">
        <f t="shared" si="8"/>
        <v>1</v>
      </c>
      <c r="J45" s="377">
        <f t="shared" si="9"/>
        <v>1</v>
      </c>
      <c r="K45" s="377">
        <f t="shared" si="10"/>
        <v>0.79236815999999999</v>
      </c>
      <c r="L45" s="377"/>
      <c r="N45" s="377">
        <f t="shared" si="82"/>
        <v>2.7366130355732526E-6</v>
      </c>
      <c r="O45" s="377">
        <f t="shared" si="83"/>
        <v>4.2338729859859519E-7</v>
      </c>
      <c r="P45" s="377">
        <f t="shared" si="84"/>
        <v>6.059447272325786E-10</v>
      </c>
      <c r="Q45" s="377">
        <f t="shared" si="85"/>
        <v>1.1027762196056434E-7</v>
      </c>
      <c r="R45" s="377">
        <f t="shared" si="86"/>
        <v>7.2511328326665832E-7</v>
      </c>
      <c r="S45" s="377">
        <f t="shared" si="87"/>
        <v>0.99999600400281652</v>
      </c>
      <c r="T45" s="377">
        <f t="shared" si="0"/>
        <v>1.0000000000000007</v>
      </c>
      <c r="U45" s="377">
        <f t="shared" si="1"/>
        <v>3.9959971841263031E-6</v>
      </c>
      <c r="V45" s="390"/>
      <c r="W45" s="377"/>
      <c r="X45" s="377">
        <f t="shared" si="11"/>
        <v>1.7277934793655999E-6</v>
      </c>
      <c r="Y45" s="377">
        <f t="shared" si="12"/>
        <v>2.7053082956412253E-7</v>
      </c>
      <c r="Z45" s="377">
        <f t="shared" si="13"/>
        <v>3.029723636162893E-10</v>
      </c>
      <c r="AA45" s="377">
        <f t="shared" si="14"/>
        <v>7.0463843979492384E-8</v>
      </c>
      <c r="AB45" s="377">
        <f t="shared" si="15"/>
        <v>4.3783494423987792E-7</v>
      </c>
      <c r="AC45" s="377">
        <f t="shared" si="16"/>
        <v>0.99999749307393104</v>
      </c>
      <c r="AD45" s="377">
        <f t="shared" si="17"/>
        <v>1.0000000000000004</v>
      </c>
      <c r="AE45" s="377">
        <f t="shared" si="18"/>
        <v>2.5069260695127091E-6</v>
      </c>
      <c r="AF45" s="377"/>
      <c r="AG45" s="390"/>
      <c r="AH45" s="377">
        <f t="shared" si="19"/>
        <v>0.5138840722500001</v>
      </c>
      <c r="AI45" s="377">
        <f t="shared" si="20"/>
        <v>0.47543431387500007</v>
      </c>
      <c r="AJ45" s="377">
        <f t="shared" si="21"/>
        <v>0.50106748612500007</v>
      </c>
      <c r="AK45" s="377">
        <f t="shared" si="22"/>
        <v>0.42905047837500004</v>
      </c>
      <c r="AL45" s="377">
        <f t="shared" si="23"/>
        <v>0.42905047837500004</v>
      </c>
      <c r="AM45" s="377">
        <v>0</v>
      </c>
      <c r="AN45" s="382"/>
      <c r="AP45" s="377">
        <f t="shared" si="24"/>
        <v>2.7679934543414506E-6</v>
      </c>
      <c r="AQ45" s="377">
        <f t="shared" si="25"/>
        <v>4.2824223079341202E-7</v>
      </c>
      <c r="AR45" s="377">
        <f t="shared" si="26"/>
        <v>6.1124125859438634E-10</v>
      </c>
      <c r="AS45" s="377">
        <f t="shared" si="27"/>
        <v>1.115421624392143E-7</v>
      </c>
      <c r="AT45" s="377">
        <f t="shared" si="28"/>
        <v>7.3069375388956093E-7</v>
      </c>
      <c r="AU45" s="377">
        <f t="shared" si="29"/>
        <v>0.9999959609171577</v>
      </c>
      <c r="AV45" s="377">
        <f t="shared" si="2"/>
        <v>1.0000000000000004</v>
      </c>
      <c r="AW45" s="377">
        <f t="shared" si="3"/>
        <v>4.039082842722233E-6</v>
      </c>
      <c r="AX45" s="389"/>
      <c r="AY45" s="377">
        <f t="shared" si="88"/>
        <v>1.7476058833199269E-6</v>
      </c>
      <c r="AZ45" s="377">
        <f t="shared" si="89"/>
        <v>2.7363297466504721E-7</v>
      </c>
      <c r="BA45" s="377">
        <f t="shared" si="90"/>
        <v>3.0562062929719317E-10</v>
      </c>
      <c r="BB45" s="377">
        <f t="shared" si="91"/>
        <v>7.1271844563919273E-8</v>
      </c>
      <c r="BC45" s="377">
        <f t="shared" si="92"/>
        <v>4.4120452124307881E-7</v>
      </c>
      <c r="BD45" s="377">
        <f t="shared" si="93"/>
        <v>0.99999746597915595</v>
      </c>
      <c r="BE45" s="377">
        <f t="shared" si="31"/>
        <v>1.0000000000000004</v>
      </c>
      <c r="BF45" s="377">
        <f t="shared" si="32"/>
        <v>2.5340208444212693E-6</v>
      </c>
      <c r="BG45" s="452"/>
      <c r="BH45" s="453"/>
      <c r="BJ45" s="383">
        <f t="shared" si="33"/>
        <v>9.1391489340469348E-4</v>
      </c>
      <c r="BK45" s="383">
        <f t="shared" si="34"/>
        <v>7.6529550354514822E-4</v>
      </c>
      <c r="BL45" s="383">
        <f t="shared" si="35"/>
        <v>3.036477876599578E-7</v>
      </c>
      <c r="BM45" s="383">
        <f t="shared" si="36"/>
        <v>7.2336242047563355E-4</v>
      </c>
      <c r="BN45" s="383">
        <f t="shared" si="37"/>
        <v>1.6886837965330232E-3</v>
      </c>
      <c r="BO45" s="383">
        <f t="shared" si="38"/>
        <v>0</v>
      </c>
      <c r="BP45" s="383">
        <f t="shared" si="39"/>
        <v>4.0915602617461588E-3</v>
      </c>
      <c r="BQ45" s="445"/>
      <c r="BR45" s="383">
        <f t="shared" si="40"/>
        <v>5.7701113492977405E-4</v>
      </c>
      <c r="BS45" s="383">
        <f t="shared" si="41"/>
        <v>4.8899914598536035E-4</v>
      </c>
      <c r="BT45" s="383">
        <f t="shared" si="42"/>
        <v>1.518238938299789E-7</v>
      </c>
      <c r="BU45" s="383">
        <f t="shared" si="43"/>
        <v>4.6220525824586944E-4</v>
      </c>
      <c r="BV45" s="383">
        <f t="shared" si="44"/>
        <v>1.0196541601926803E-3</v>
      </c>
      <c r="BW45" s="383">
        <f t="shared" si="94"/>
        <v>0</v>
      </c>
      <c r="BX45" s="385">
        <f t="shared" si="45"/>
        <v>2.548021523247514E-3</v>
      </c>
      <c r="BY45" s="385"/>
      <c r="CA45" s="383">
        <f t="shared" si="46"/>
        <v>9.2439464764861956E-4</v>
      </c>
      <c r="CB45" s="383">
        <f t="shared" si="47"/>
        <v>7.7407105678212055E-4</v>
      </c>
      <c r="CC45" s="383">
        <f t="shared" si="48"/>
        <v>3.0630195718731672E-7</v>
      </c>
      <c r="CD45" s="383">
        <f t="shared" si="49"/>
        <v>7.3165713199700418E-4</v>
      </c>
      <c r="CE45" s="383">
        <f t="shared" si="50"/>
        <v>1.7016799042245971E-3</v>
      </c>
      <c r="CF45" s="383">
        <f t="shared" si="51"/>
        <v>0</v>
      </c>
      <c r="CG45" s="383">
        <f t="shared" si="52"/>
        <v>4.1321090426095289E-3</v>
      </c>
      <c r="CH45" s="383"/>
      <c r="CI45" s="398"/>
      <c r="CJ45" s="383">
        <f t="shared" si="53"/>
        <v>5.8362765352872774E-4</v>
      </c>
      <c r="CK45" s="383">
        <f t="shared" si="54"/>
        <v>4.9460644149219391E-4</v>
      </c>
      <c r="CL45" s="383">
        <f t="shared" si="55"/>
        <v>1.5315097859365836E-7</v>
      </c>
      <c r="CM45" s="383">
        <f t="shared" si="56"/>
        <v>4.6750531140357876E-4</v>
      </c>
      <c r="CN45" s="383">
        <f t="shared" si="57"/>
        <v>1.0275014169148871E-3</v>
      </c>
      <c r="CO45" s="383">
        <f t="shared" si="58"/>
        <v>0</v>
      </c>
      <c r="CP45" s="383">
        <f t="shared" si="95"/>
        <v>2.5733939743179811E-3</v>
      </c>
      <c r="CR45" s="377">
        <f t="shared" si="59"/>
        <v>4.0759228577281538E-7</v>
      </c>
      <c r="CS45" s="377">
        <f t="shared" si="60"/>
        <v>5.8341253488899864E-8</v>
      </c>
      <c r="CT45" s="377">
        <f t="shared" si="61"/>
        <v>8.7998777890498566E-11</v>
      </c>
      <c r="CU45" s="377">
        <f t="shared" si="62"/>
        <v>1.3713338312989284E-8</v>
      </c>
      <c r="CV45" s="377">
        <f t="shared" si="63"/>
        <v>9.0169914728792626E-8</v>
      </c>
      <c r="CW45" s="377">
        <v>0</v>
      </c>
      <c r="CX45" s="377">
        <f t="shared" si="4"/>
        <v>5.6990479108138775E-7</v>
      </c>
      <c r="CY45" s="377"/>
      <c r="CZ45" s="454"/>
      <c r="DA45" s="377">
        <f t="shared" si="64"/>
        <v>2.573382807300963E-7</v>
      </c>
      <c r="DB45" s="377">
        <f t="shared" si="65"/>
        <v>3.7278179473982001E-8</v>
      </c>
      <c r="DC45" s="377">
        <f t="shared" si="66"/>
        <v>4.3999388945249283E-11</v>
      </c>
      <c r="DD45" s="377">
        <f t="shared" si="67"/>
        <v>8.7623809268395591E-9</v>
      </c>
      <c r="DE45" s="377">
        <f t="shared" si="68"/>
        <v>5.4446030018287474E-8</v>
      </c>
      <c r="DF45" s="377">
        <v>0</v>
      </c>
      <c r="DG45" s="377">
        <f t="shared" si="69"/>
        <v>3.5786887053815057E-7</v>
      </c>
      <c r="DJ45" s="377">
        <f t="shared" si="70"/>
        <v>4.1226609841931504E-7</v>
      </c>
      <c r="DK45" s="377">
        <f t="shared" si="71"/>
        <v>5.901024575859421E-8</v>
      </c>
      <c r="DL45" s="377">
        <f t="shared" si="72"/>
        <v>8.8767970633583344E-11</v>
      </c>
      <c r="DM45" s="377">
        <f t="shared" si="73"/>
        <v>1.3870587545298605E-8</v>
      </c>
      <c r="DN45" s="377">
        <f t="shared" si="74"/>
        <v>9.0863862242685595E-8</v>
      </c>
      <c r="DO45" s="377">
        <f t="shared" si="75"/>
        <v>0</v>
      </c>
      <c r="DP45" s="377">
        <f t="shared" si="96"/>
        <v>5.7609956193652703E-7</v>
      </c>
      <c r="DQ45" s="454"/>
      <c r="DS45" s="377">
        <f t="shared" si="76"/>
        <v>2.6028914843021559E-7</v>
      </c>
      <c r="DT45" s="377">
        <f t="shared" si="77"/>
        <v>3.7705643959315981E-8</v>
      </c>
      <c r="DU45" s="377">
        <f t="shared" si="78"/>
        <v>4.4383985316791672E-11</v>
      </c>
      <c r="DV45" s="377">
        <f t="shared" si="79"/>
        <v>8.8628581149974735E-9</v>
      </c>
      <c r="DW45" s="377">
        <f t="shared" si="80"/>
        <v>5.486504657482047E-8</v>
      </c>
      <c r="DX45" s="377">
        <f t="shared" si="81"/>
        <v>0</v>
      </c>
      <c r="DY45" s="402">
        <f t="shared" si="97"/>
        <v>3.617670810646663E-7</v>
      </c>
    </row>
    <row r="46" spans="2:129" x14ac:dyDescent="0.15">
      <c r="B46" s="461" t="s">
        <v>588</v>
      </c>
      <c r="C46" s="239">
        <v>37</v>
      </c>
      <c r="D46" s="239">
        <v>99</v>
      </c>
      <c r="E46" s="457">
        <f t="shared" si="5"/>
        <v>4.2999999999999997E-2</v>
      </c>
      <c r="F46" s="378">
        <v>1.12E-2</v>
      </c>
      <c r="G46" s="377">
        <f t="shared" si="6"/>
        <v>0.74354400000000009</v>
      </c>
      <c r="H46" s="377">
        <f t="shared" si="7"/>
        <v>1</v>
      </c>
      <c r="I46" s="377">
        <f t="shared" si="8"/>
        <v>1</v>
      </c>
      <c r="J46" s="377">
        <f t="shared" si="9"/>
        <v>1</v>
      </c>
      <c r="K46" s="377">
        <f t="shared" si="10"/>
        <v>0.86251104000000001</v>
      </c>
      <c r="L46" s="377"/>
      <c r="N46" s="377">
        <f t="shared" si="82"/>
        <v>7.1897392315794727E-7</v>
      </c>
      <c r="O46" s="377">
        <f t="shared" si="83"/>
        <v>1.1767436052964986E-7</v>
      </c>
      <c r="P46" s="377">
        <f t="shared" si="84"/>
        <v>0</v>
      </c>
      <c r="Q46" s="377">
        <f t="shared" si="85"/>
        <v>3.065006599842043E-8</v>
      </c>
      <c r="R46" s="377">
        <f t="shared" si="86"/>
        <v>1.5055660521309751E-7</v>
      </c>
      <c r="S46" s="377">
        <f t="shared" si="87"/>
        <v>0.99999898214504568</v>
      </c>
      <c r="T46" s="377">
        <f t="shared" si="0"/>
        <v>1.0000000000000007</v>
      </c>
      <c r="U46" s="377">
        <f t="shared" si="1"/>
        <v>1.017854954899115E-6</v>
      </c>
      <c r="V46" s="390"/>
      <c r="W46" s="377"/>
      <c r="X46" s="377">
        <f t="shared" si="11"/>
        <v>4.321953564800905E-7</v>
      </c>
      <c r="Y46" s="377">
        <f t="shared" si="12"/>
        <v>7.429511961272079E-8</v>
      </c>
      <c r="Z46" s="377">
        <f t="shared" si="13"/>
        <v>0</v>
      </c>
      <c r="AA46" s="377">
        <f t="shared" si="14"/>
        <v>1.9351286968894721E-8</v>
      </c>
      <c r="AB46" s="377">
        <f t="shared" si="15"/>
        <v>8.5628238142488432E-8</v>
      </c>
      <c r="AC46" s="377">
        <f t="shared" si="16"/>
        <v>0.99999938852999937</v>
      </c>
      <c r="AD46" s="377">
        <f t="shared" si="17"/>
        <v>1.0000000000000007</v>
      </c>
      <c r="AE46" s="377">
        <f t="shared" si="18"/>
        <v>6.1147000120419446E-7</v>
      </c>
      <c r="AF46" s="377"/>
      <c r="AG46" s="390"/>
      <c r="AH46" s="377">
        <f t="shared" si="19"/>
        <v>0.50806138965000003</v>
      </c>
      <c r="AI46" s="377">
        <f t="shared" si="20"/>
        <v>0.47004729517500005</v>
      </c>
      <c r="AJ46" s="377">
        <f t="shared" si="21"/>
        <v>0.495390024825</v>
      </c>
      <c r="AK46" s="377">
        <f t="shared" si="22"/>
        <v>0.42418902247500001</v>
      </c>
      <c r="AL46" s="377">
        <f t="shared" si="23"/>
        <v>0.42418902247500001</v>
      </c>
      <c r="AM46" s="377">
        <v>0</v>
      </c>
      <c r="AN46" s="382"/>
      <c r="AP46" s="377">
        <f t="shared" si="24"/>
        <v>7.2721831229840329E-7</v>
      </c>
      <c r="AQ46" s="377">
        <f t="shared" si="25"/>
        <v>1.1902371853668237E-7</v>
      </c>
      <c r="AR46" s="377">
        <f t="shared" si="26"/>
        <v>0</v>
      </c>
      <c r="AS46" s="377">
        <f t="shared" si="27"/>
        <v>3.1001526688624243E-8</v>
      </c>
      <c r="AT46" s="377">
        <f t="shared" si="28"/>
        <v>1.5171528859659669E-7</v>
      </c>
      <c r="AU46" s="377">
        <f t="shared" si="29"/>
        <v>0.99999897104115432</v>
      </c>
      <c r="AV46" s="377">
        <f t="shared" si="2"/>
        <v>1.0000000000000004</v>
      </c>
      <c r="AW46" s="377">
        <f t="shared" si="3"/>
        <v>1.0289588461203067E-6</v>
      </c>
      <c r="AX46" s="389"/>
      <c r="AY46" s="377">
        <f t="shared" si="88"/>
        <v>4.3715128963531456E-7</v>
      </c>
      <c r="AZ46" s="377">
        <f t="shared" si="89"/>
        <v>7.5147052982756856E-8</v>
      </c>
      <c r="BA46" s="377">
        <f t="shared" si="90"/>
        <v>0</v>
      </c>
      <c r="BB46" s="377">
        <f t="shared" si="91"/>
        <v>1.9573185893183179E-8</v>
      </c>
      <c r="BC46" s="377">
        <f t="shared" si="92"/>
        <v>8.6287232920921317E-8</v>
      </c>
      <c r="BD46" s="377">
        <f t="shared" si="93"/>
        <v>0.99999938184123904</v>
      </c>
      <c r="BE46" s="377">
        <f t="shared" si="31"/>
        <v>1.0000000000000004</v>
      </c>
      <c r="BF46" s="377">
        <f t="shared" si="32"/>
        <v>6.1815876143217588E-7</v>
      </c>
      <c r="BG46" s="452"/>
      <c r="BH46" s="453"/>
      <c r="BJ46" s="383">
        <f t="shared" si="33"/>
        <v>2.3198780333802391E-4</v>
      </c>
      <c r="BK46" s="383">
        <f t="shared" si="34"/>
        <v>2.0550994050779958E-4</v>
      </c>
      <c r="BL46" s="383">
        <f t="shared" si="35"/>
        <v>0</v>
      </c>
      <c r="BM46" s="383">
        <f t="shared" si="36"/>
        <v>1.9424936813150286E-4</v>
      </c>
      <c r="BN46" s="383">
        <f t="shared" si="37"/>
        <v>3.3876765589597817E-4</v>
      </c>
      <c r="BO46" s="383">
        <f t="shared" si="38"/>
        <v>0</v>
      </c>
      <c r="BP46" s="383">
        <f t="shared" si="39"/>
        <v>9.7051476787330456E-4</v>
      </c>
      <c r="BQ46" s="445"/>
      <c r="BR46" s="383">
        <f t="shared" si="40"/>
        <v>1.3945436424497962E-4</v>
      </c>
      <c r="BS46" s="383">
        <f t="shared" si="41"/>
        <v>1.2975116705888536E-4</v>
      </c>
      <c r="BT46" s="383">
        <f t="shared" si="42"/>
        <v>0</v>
      </c>
      <c r="BU46" s="383">
        <f t="shared" si="43"/>
        <v>1.2264166956224191E-4</v>
      </c>
      <c r="BV46" s="383">
        <f t="shared" si="44"/>
        <v>1.92672234293377E-4</v>
      </c>
      <c r="BW46" s="383">
        <f t="shared" si="94"/>
        <v>0</v>
      </c>
      <c r="BX46" s="385">
        <f t="shared" si="45"/>
        <v>5.8451943515948389E-4</v>
      </c>
      <c r="BY46" s="385"/>
      <c r="CA46" s="383">
        <f t="shared" si="46"/>
        <v>2.3464798010515553E-4</v>
      </c>
      <c r="CB46" s="383">
        <f t="shared" si="47"/>
        <v>2.0786649874615179E-4</v>
      </c>
      <c r="CC46" s="383">
        <f t="shared" si="48"/>
        <v>0</v>
      </c>
      <c r="CD46" s="383">
        <f t="shared" si="49"/>
        <v>1.9647680271512403E-4</v>
      </c>
      <c r="CE46" s="383">
        <f t="shared" si="50"/>
        <v>3.4137481121273135E-4</v>
      </c>
      <c r="CF46" s="383">
        <f t="shared" si="51"/>
        <v>0</v>
      </c>
      <c r="CG46" s="383">
        <f t="shared" si="52"/>
        <v>9.803660927791627E-4</v>
      </c>
      <c r="CH46" s="383"/>
      <c r="CI46" s="398"/>
      <c r="CJ46" s="383">
        <f t="shared" si="53"/>
        <v>1.4105347098465192E-4</v>
      </c>
      <c r="CK46" s="383">
        <f t="shared" si="54"/>
        <v>1.312390083813679E-4</v>
      </c>
      <c r="CL46" s="383">
        <f t="shared" si="55"/>
        <v>0</v>
      </c>
      <c r="CM46" s="383">
        <f t="shared" si="56"/>
        <v>1.240479871158261E-4</v>
      </c>
      <c r="CN46" s="383">
        <f t="shared" si="57"/>
        <v>1.9415503948828306E-4</v>
      </c>
      <c r="CO46" s="383">
        <f t="shared" si="58"/>
        <v>0</v>
      </c>
      <c r="CP46" s="383">
        <f t="shared" si="95"/>
        <v>5.9049550597012898E-4</v>
      </c>
      <c r="CR46" s="377">
        <f t="shared" si="59"/>
        <v>1.0229075601869451E-7</v>
      </c>
      <c r="CS46" s="377">
        <f t="shared" si="60"/>
        <v>1.5489252606730274E-8</v>
      </c>
      <c r="CT46" s="377">
        <f t="shared" si="61"/>
        <v>0</v>
      </c>
      <c r="CU46" s="377">
        <f t="shared" si="62"/>
        <v>3.6408090075037016E-9</v>
      </c>
      <c r="CV46" s="377">
        <f t="shared" si="63"/>
        <v>1.7884067343518064E-8</v>
      </c>
      <c r="CW46" s="377">
        <v>0</v>
      </c>
      <c r="CX46" s="377">
        <f t="shared" si="4"/>
        <v>1.3930488497644655E-7</v>
      </c>
      <c r="CY46" s="377"/>
      <c r="CZ46" s="454"/>
      <c r="DA46" s="377">
        <f t="shared" si="64"/>
        <v>6.1489837584005786E-8</v>
      </c>
      <c r="DB46" s="377">
        <f t="shared" si="65"/>
        <v>9.7793255042904392E-9</v>
      </c>
      <c r="DC46" s="377">
        <f t="shared" si="66"/>
        <v>0</v>
      </c>
      <c r="DD46" s="377">
        <f t="shared" si="67"/>
        <v>2.2986684565955521E-9</v>
      </c>
      <c r="DE46" s="377">
        <f t="shared" si="68"/>
        <v>1.0171464581574163E-8</v>
      </c>
      <c r="DF46" s="377">
        <v>0</v>
      </c>
      <c r="DG46" s="377">
        <f t="shared" si="69"/>
        <v>8.3739296126465945E-8</v>
      </c>
      <c r="DJ46" s="377">
        <f t="shared" si="70"/>
        <v>1.0346371204801114E-7</v>
      </c>
      <c r="DK46" s="377">
        <f t="shared" si="71"/>
        <v>1.5666866038694279E-8</v>
      </c>
      <c r="DL46" s="377">
        <f t="shared" si="72"/>
        <v>0</v>
      </c>
      <c r="DM46" s="377">
        <f t="shared" si="73"/>
        <v>3.6825577347900786E-9</v>
      </c>
      <c r="DN46" s="377">
        <f t="shared" si="74"/>
        <v>1.8021703096070965E-8</v>
      </c>
      <c r="DO46" s="377">
        <f t="shared" si="75"/>
        <v>0</v>
      </c>
      <c r="DP46" s="377">
        <f t="shared" si="96"/>
        <v>1.4083483891756646E-7</v>
      </c>
      <c r="DQ46" s="454"/>
      <c r="DS46" s="377">
        <f t="shared" si="76"/>
        <v>6.2194934295996849E-8</v>
      </c>
      <c r="DT46" s="377">
        <f t="shared" si="77"/>
        <v>9.8914638759220988E-9</v>
      </c>
      <c r="DU46" s="377">
        <f t="shared" si="78"/>
        <v>0</v>
      </c>
      <c r="DV46" s="377">
        <f t="shared" si="79"/>
        <v>2.3250270165525335E-9</v>
      </c>
      <c r="DW46" s="377">
        <f t="shared" si="80"/>
        <v>1.0249744156089271E-8</v>
      </c>
      <c r="DX46" s="377">
        <f t="shared" si="81"/>
        <v>0</v>
      </c>
      <c r="DY46" s="402">
        <f t="shared" si="97"/>
        <v>8.4661169344560745E-8</v>
      </c>
    </row>
    <row r="47" spans="2:129" x14ac:dyDescent="0.15">
      <c r="B47" s="461" t="s">
        <v>588</v>
      </c>
      <c r="C47" s="239">
        <v>38</v>
      </c>
      <c r="D47" s="239">
        <v>100</v>
      </c>
      <c r="E47" s="457">
        <f t="shared" si="5"/>
        <v>4.2999999999999997E-2</v>
      </c>
      <c r="F47" s="378">
        <v>1.12E-2</v>
      </c>
      <c r="G47" s="377">
        <f t="shared" si="6"/>
        <v>0.78136799999999995</v>
      </c>
      <c r="H47" s="377">
        <f t="shared" si="7"/>
        <v>1</v>
      </c>
      <c r="I47" s="377">
        <f t="shared" si="8"/>
        <v>1</v>
      </c>
      <c r="J47" s="377">
        <f t="shared" si="9"/>
        <v>1</v>
      </c>
      <c r="K47" s="377">
        <f t="shared" si="10"/>
        <v>0.90638687999999989</v>
      </c>
      <c r="L47" s="377"/>
      <c r="N47" s="377">
        <f t="shared" si="82"/>
        <v>1.4541678980223373E-7</v>
      </c>
      <c r="O47" s="377">
        <f t="shared" si="83"/>
        <v>3.0915878695791732E-8</v>
      </c>
      <c r="P47" s="377">
        <f t="shared" si="84"/>
        <v>0</v>
      </c>
      <c r="Q47" s="377">
        <f t="shared" si="85"/>
        <v>8.0525079393690091E-9</v>
      </c>
      <c r="R47" s="377">
        <f t="shared" si="86"/>
        <v>2.069987107187935E-8</v>
      </c>
      <c r="S47" s="377">
        <f t="shared" si="87"/>
        <v>0.99999979491495306</v>
      </c>
      <c r="T47" s="377">
        <f t="shared" si="0"/>
        <v>1.0000000000000007</v>
      </c>
      <c r="U47" s="377">
        <f t="shared" si="1"/>
        <v>2.0508504750927382E-7</v>
      </c>
      <c r="V47" s="390"/>
      <c r="W47" s="377"/>
      <c r="X47" s="377">
        <f t="shared" si="11"/>
        <v>8.4663981691497323E-8</v>
      </c>
      <c r="Y47" s="377">
        <f t="shared" si="12"/>
        <v>1.8584400328643891E-8</v>
      </c>
      <c r="Z47" s="377">
        <f t="shared" si="13"/>
        <v>0</v>
      </c>
      <c r="AA47" s="377">
        <f t="shared" si="14"/>
        <v>4.840587992577013E-9</v>
      </c>
      <c r="AB47" s="377">
        <f t="shared" si="15"/>
        <v>1.1318825293257862E-8</v>
      </c>
      <c r="AC47" s="377">
        <f t="shared" si="16"/>
        <v>0.99999988059220524</v>
      </c>
      <c r="AD47" s="377">
        <f t="shared" si="17"/>
        <v>1.0000000000000007</v>
      </c>
      <c r="AE47" s="377">
        <f t="shared" si="18"/>
        <v>1.1940779530597607E-7</v>
      </c>
      <c r="AF47" s="377"/>
      <c r="AG47" s="390"/>
      <c r="AH47" s="377">
        <f t="shared" si="19"/>
        <v>0.50218279825000012</v>
      </c>
      <c r="AI47" s="377">
        <f t="shared" si="20"/>
        <v>0.46460855087500008</v>
      </c>
      <c r="AJ47" s="377">
        <f t="shared" si="21"/>
        <v>0.48965804912499999</v>
      </c>
      <c r="AK47" s="377">
        <f t="shared" si="22"/>
        <v>0.41928088737499997</v>
      </c>
      <c r="AL47" s="377">
        <f t="shared" si="23"/>
        <v>0.41928088737499997</v>
      </c>
      <c r="AM47" s="377">
        <v>0</v>
      </c>
      <c r="AN47" s="382"/>
      <c r="AP47" s="377">
        <f t="shared" si="24"/>
        <v>1.4708426697222583E-7</v>
      </c>
      <c r="AQ47" s="377">
        <f t="shared" si="25"/>
        <v>3.1270387428831336E-8</v>
      </c>
      <c r="AR47" s="377">
        <f t="shared" si="26"/>
        <v>0</v>
      </c>
      <c r="AS47" s="377">
        <f t="shared" si="27"/>
        <v>8.144845097742116E-9</v>
      </c>
      <c r="AT47" s="377">
        <f t="shared" si="28"/>
        <v>2.0859177245245944E-8</v>
      </c>
      <c r="AU47" s="377">
        <f t="shared" si="29"/>
        <v>0.99999979264132377</v>
      </c>
      <c r="AV47" s="377">
        <f t="shared" si="2"/>
        <v>1.0000000000000004</v>
      </c>
      <c r="AW47" s="377">
        <f t="shared" si="3"/>
        <v>2.0735867674404522E-7</v>
      </c>
      <c r="AX47" s="389"/>
      <c r="AY47" s="377">
        <f t="shared" si="88"/>
        <v>8.5634813579501438E-8</v>
      </c>
      <c r="AZ47" s="377">
        <f t="shared" si="89"/>
        <v>1.8797505454318524E-8</v>
      </c>
      <c r="BA47" s="377">
        <f t="shared" si="90"/>
        <v>0</v>
      </c>
      <c r="BB47" s="377">
        <f t="shared" si="91"/>
        <v>4.8960944439155224E-9</v>
      </c>
      <c r="BC47" s="377">
        <f t="shared" si="92"/>
        <v>1.1405934953903212E-8</v>
      </c>
      <c r="BD47" s="377">
        <f t="shared" si="93"/>
        <v>0.99999987926565215</v>
      </c>
      <c r="BE47" s="377">
        <f t="shared" si="31"/>
        <v>1.0000000000000007</v>
      </c>
      <c r="BF47" s="377">
        <f t="shared" si="32"/>
        <v>1.2073434843163869E-7</v>
      </c>
      <c r="BG47" s="452"/>
      <c r="BH47" s="453"/>
      <c r="BJ47" s="383">
        <f t="shared" si="33"/>
        <v>4.533422719993753E-5</v>
      </c>
      <c r="BK47" s="383">
        <f t="shared" si="34"/>
        <v>5.2166563874368247E-5</v>
      </c>
      <c r="BL47" s="383">
        <f t="shared" si="35"/>
        <v>0</v>
      </c>
      <c r="BM47" s="383">
        <f t="shared" si="36"/>
        <v>4.9308184534281115E-5</v>
      </c>
      <c r="BN47" s="383">
        <f t="shared" si="37"/>
        <v>4.5001751392053997E-5</v>
      </c>
      <c r="BO47" s="383">
        <f t="shared" si="38"/>
        <v>0</v>
      </c>
      <c r="BP47" s="383">
        <f t="shared" si="39"/>
        <v>1.9181072700064089E-4</v>
      </c>
      <c r="BQ47" s="445"/>
      <c r="BR47" s="383">
        <f t="shared" si="40"/>
        <v>2.639431242343883E-5</v>
      </c>
      <c r="BS47" s="383">
        <f t="shared" si="41"/>
        <v>3.1358782208671235E-5</v>
      </c>
      <c r="BT47" s="383">
        <f t="shared" si="42"/>
        <v>0</v>
      </c>
      <c r="BU47" s="383">
        <f t="shared" si="43"/>
        <v>2.9640530352723334E-5</v>
      </c>
      <c r="BV47" s="383">
        <f t="shared" si="44"/>
        <v>2.4607252872664262E-5</v>
      </c>
      <c r="BW47" s="383">
        <f t="shared" si="94"/>
        <v>0</v>
      </c>
      <c r="BX47" s="385">
        <f t="shared" si="45"/>
        <v>1.1200087785749766E-4</v>
      </c>
      <c r="BY47" s="385"/>
      <c r="CA47" s="383">
        <f t="shared" si="46"/>
        <v>4.5854069433959733E-5</v>
      </c>
      <c r="CB47" s="383">
        <f t="shared" si="47"/>
        <v>5.276475170684442E-5</v>
      </c>
      <c r="CC47" s="383">
        <f t="shared" si="48"/>
        <v>0</v>
      </c>
      <c r="CD47" s="383">
        <f t="shared" si="49"/>
        <v>4.987359566814323E-5</v>
      </c>
      <c r="CE47" s="383">
        <f t="shared" si="50"/>
        <v>4.5348084795975634E-5</v>
      </c>
      <c r="CF47" s="383">
        <f t="shared" si="51"/>
        <v>0</v>
      </c>
      <c r="CG47" s="383">
        <f t="shared" si="52"/>
        <v>1.9384050160492304E-4</v>
      </c>
      <c r="CH47" s="383"/>
      <c r="CI47" s="398"/>
      <c r="CJ47" s="383">
        <f t="shared" si="53"/>
        <v>2.6696972889562301E-5</v>
      </c>
      <c r="CK47" s="383">
        <f t="shared" si="54"/>
        <v>3.1718369664031973E-5</v>
      </c>
      <c r="CL47" s="383">
        <f t="shared" si="55"/>
        <v>0</v>
      </c>
      <c r="CM47" s="383">
        <f t="shared" si="56"/>
        <v>2.99804148167996E-5</v>
      </c>
      <c r="CN47" s="383">
        <f t="shared" si="57"/>
        <v>2.479663024987574E-5</v>
      </c>
      <c r="CO47" s="383">
        <f t="shared" si="58"/>
        <v>0</v>
      </c>
      <c r="CP47" s="383">
        <f t="shared" si="95"/>
        <v>1.131923876202696E-4</v>
      </c>
      <c r="CR47" s="377">
        <f t="shared" si="59"/>
        <v>1.9758005099773022E-8</v>
      </c>
      <c r="CS47" s="377">
        <f t="shared" si="60"/>
        <v>3.8862926475995498E-9</v>
      </c>
      <c r="CT47" s="377">
        <f t="shared" si="61"/>
        <v>0</v>
      </c>
      <c r="CU47" s="377">
        <f t="shared" si="62"/>
        <v>9.1348818670746053E-10</v>
      </c>
      <c r="CV47" s="377">
        <f t="shared" si="63"/>
        <v>2.3482234147304661E-9</v>
      </c>
      <c r="CW47" s="377">
        <v>0</v>
      </c>
      <c r="CX47" s="377">
        <f t="shared" si="4"/>
        <v>2.6906009348810499E-8</v>
      </c>
      <c r="CY47" s="377"/>
      <c r="CZ47" s="454"/>
      <c r="DA47" s="377">
        <f t="shared" si="64"/>
        <v>1.150342669716945E-8</v>
      </c>
      <c r="DB47" s="377">
        <f t="shared" si="65"/>
        <v>2.3361593266662215E-9</v>
      </c>
      <c r="DC47" s="377">
        <f t="shared" si="66"/>
        <v>0</v>
      </c>
      <c r="DD47" s="377">
        <f t="shared" si="67"/>
        <v>5.4912332669908221E-10</v>
      </c>
      <c r="DE47" s="377">
        <f t="shared" si="68"/>
        <v>1.2840239675202196E-9</v>
      </c>
      <c r="DF47" s="377">
        <v>0</v>
      </c>
      <c r="DG47" s="377">
        <f t="shared" si="69"/>
        <v>1.5672733318054974E-8</v>
      </c>
      <c r="DJ47" s="377">
        <f t="shared" si="70"/>
        <v>1.998456781287696E-8</v>
      </c>
      <c r="DK47" s="377">
        <f t="shared" si="71"/>
        <v>3.9308563068206983E-9</v>
      </c>
      <c r="DL47" s="377">
        <f t="shared" si="72"/>
        <v>0</v>
      </c>
      <c r="DM47" s="377">
        <f t="shared" si="73"/>
        <v>9.2396304795603911E-10</v>
      </c>
      <c r="DN47" s="377">
        <f t="shared" si="74"/>
        <v>2.366295338227552E-9</v>
      </c>
      <c r="DO47" s="377">
        <f t="shared" si="75"/>
        <v>0</v>
      </c>
      <c r="DP47" s="377">
        <f t="shared" si="96"/>
        <v>2.7205682505881249E-8</v>
      </c>
      <c r="DQ47" s="454"/>
      <c r="DS47" s="377">
        <f t="shared" si="76"/>
        <v>1.1635335133741972E-8</v>
      </c>
      <c r="DT47" s="377">
        <f t="shared" si="77"/>
        <v>2.3629477900065127E-9</v>
      </c>
      <c r="DU47" s="377">
        <f t="shared" si="78"/>
        <v>0</v>
      </c>
      <c r="DV47" s="377">
        <f t="shared" si="79"/>
        <v>5.5542005909171783E-10</v>
      </c>
      <c r="DW47" s="377">
        <f t="shared" si="80"/>
        <v>1.2939058138402444E-9</v>
      </c>
      <c r="DX47" s="377">
        <f t="shared" si="81"/>
        <v>0</v>
      </c>
      <c r="DY47" s="402">
        <f t="shared" si="97"/>
        <v>1.5847608796680447E-8</v>
      </c>
    </row>
    <row r="48" spans="2:129" x14ac:dyDescent="0.15">
      <c r="B48" s="461" t="s">
        <v>588</v>
      </c>
      <c r="C48" s="239">
        <v>39</v>
      </c>
      <c r="D48" s="239">
        <v>101</v>
      </c>
      <c r="E48" s="457">
        <f t="shared" si="5"/>
        <v>4.2999999999999997E-2</v>
      </c>
      <c r="F48" s="378">
        <v>1.12E-2</v>
      </c>
      <c r="G48" s="377">
        <f t="shared" si="6"/>
        <v>0.78136799999999995</v>
      </c>
      <c r="H48" s="377">
        <f t="shared" si="7"/>
        <v>1</v>
      </c>
      <c r="I48" s="377">
        <f t="shared" si="8"/>
        <v>1</v>
      </c>
      <c r="J48" s="377">
        <f t="shared" si="9"/>
        <v>1</v>
      </c>
      <c r="K48" s="377">
        <f t="shared" si="10"/>
        <v>0.90638687999999989</v>
      </c>
      <c r="L48" s="377"/>
      <c r="N48" s="377">
        <f t="shared" si="82"/>
        <v>2.3911173580760914E-8</v>
      </c>
      <c r="O48" s="377">
        <f t="shared" si="83"/>
        <v>6.25292196149605E-9</v>
      </c>
      <c r="P48" s="377">
        <f t="shared" si="84"/>
        <v>0</v>
      </c>
      <c r="Q48" s="377">
        <f t="shared" si="85"/>
        <v>1.6286680457850178E-9</v>
      </c>
      <c r="R48" s="377">
        <f t="shared" si="86"/>
        <v>1.9377795146363734E-9</v>
      </c>
      <c r="S48" s="377">
        <f t="shared" si="87"/>
        <v>0.99999996626945753</v>
      </c>
      <c r="T48" s="377">
        <f t="shared" si="0"/>
        <v>1.0000000000000007</v>
      </c>
      <c r="U48" s="377">
        <f t="shared" si="1"/>
        <v>3.3730543102678356E-8</v>
      </c>
      <c r="V48" s="390"/>
      <c r="W48" s="377"/>
      <c r="X48" s="377">
        <f t="shared" si="11"/>
        <v>1.1955586790380457E-8</v>
      </c>
      <c r="Y48" s="377">
        <f t="shared" si="12"/>
        <v>3.126460980748025E-9</v>
      </c>
      <c r="Z48" s="377">
        <f t="shared" si="13"/>
        <v>0</v>
      </c>
      <c r="AA48" s="377">
        <f t="shared" si="14"/>
        <v>8.1433402289250888E-10</v>
      </c>
      <c r="AB48" s="377">
        <f t="shared" si="15"/>
        <v>9.6888975731818669E-10</v>
      </c>
      <c r="AC48" s="377">
        <f t="shared" si="16"/>
        <v>0.49999998313472876</v>
      </c>
      <c r="AD48" s="377">
        <f t="shared" si="17"/>
        <v>0.50000000000000033</v>
      </c>
      <c r="AE48" s="377">
        <f t="shared" si="18"/>
        <v>1.6865271551339178E-8</v>
      </c>
      <c r="AF48" s="377"/>
      <c r="AG48" s="390"/>
      <c r="AH48" s="377">
        <f t="shared" si="19"/>
        <v>0.49624829805000004</v>
      </c>
      <c r="AI48" s="377">
        <f t="shared" si="20"/>
        <v>0.45911808097500006</v>
      </c>
      <c r="AJ48" s="377">
        <f t="shared" si="21"/>
        <v>0.48387155902500001</v>
      </c>
      <c r="AK48" s="377">
        <f t="shared" si="22"/>
        <v>0.41432607307500002</v>
      </c>
      <c r="AL48" s="377">
        <f t="shared" si="23"/>
        <v>0.41432607307500002</v>
      </c>
      <c r="AM48" s="377">
        <v>0</v>
      </c>
      <c r="AN48" s="382"/>
      <c r="AP48" s="377">
        <f t="shared" si="24"/>
        <v>2.4185360186777048E-8</v>
      </c>
      <c r="AQ48" s="377">
        <f t="shared" si="25"/>
        <v>6.32462347980571E-9</v>
      </c>
      <c r="AR48" s="377">
        <f t="shared" si="26"/>
        <v>0</v>
      </c>
      <c r="AS48" s="377">
        <f t="shared" si="27"/>
        <v>1.6473437900889293E-9</v>
      </c>
      <c r="AT48" s="377">
        <f t="shared" si="28"/>
        <v>1.9526926625604793E-9</v>
      </c>
      <c r="AU48" s="377">
        <f t="shared" si="29"/>
        <v>0.99999996588998041</v>
      </c>
      <c r="AV48" s="377">
        <f t="shared" si="2"/>
        <v>1.0000000000000004</v>
      </c>
      <c r="AW48" s="377">
        <f t="shared" si="3"/>
        <v>3.4110020119232168E-8</v>
      </c>
      <c r="AX48" s="389"/>
      <c r="AY48" s="377">
        <f t="shared" si="88"/>
        <v>1.2092680093388524E-8</v>
      </c>
      <c r="AZ48" s="377">
        <f t="shared" si="89"/>
        <v>3.162311739902855E-9</v>
      </c>
      <c r="BA48" s="377">
        <f t="shared" si="90"/>
        <v>0</v>
      </c>
      <c r="BB48" s="377">
        <f t="shared" si="91"/>
        <v>8.2367189504446465E-10</v>
      </c>
      <c r="BC48" s="377">
        <f t="shared" si="92"/>
        <v>9.7634633128023967E-10</v>
      </c>
      <c r="BD48" s="377">
        <f t="shared" si="93"/>
        <v>0.49999998294499021</v>
      </c>
      <c r="BE48" s="377">
        <f t="shared" si="31"/>
        <v>0.50000000000000022</v>
      </c>
      <c r="BF48" s="377">
        <f t="shared" si="32"/>
        <v>1.7055010059616084E-8</v>
      </c>
      <c r="BG48" s="452"/>
      <c r="BH48" s="453"/>
      <c r="BJ48" s="383">
        <f t="shared" si="33"/>
        <v>7.2023165670919176E-6</v>
      </c>
      <c r="BK48" s="383">
        <f t="shared" si="34"/>
        <v>1.0194203423163499E-5</v>
      </c>
      <c r="BL48" s="383">
        <f t="shared" si="35"/>
        <v>0</v>
      </c>
      <c r="BM48" s="383">
        <f t="shared" si="36"/>
        <v>9.6356291508845986E-6</v>
      </c>
      <c r="BN48" s="383">
        <f t="shared" si="37"/>
        <v>4.0702940611348072E-6</v>
      </c>
      <c r="BO48" s="383">
        <f t="shared" si="38"/>
        <v>0</v>
      </c>
      <c r="BP48" s="383">
        <f t="shared" si="39"/>
        <v>3.1102443202274822E-5</v>
      </c>
      <c r="BQ48" s="445"/>
      <c r="BR48" s="383">
        <f t="shared" si="40"/>
        <v>3.6011582835459588E-6</v>
      </c>
      <c r="BS48" s="383">
        <f t="shared" si="41"/>
        <v>5.0971017115817497E-6</v>
      </c>
      <c r="BT48" s="383">
        <f t="shared" si="42"/>
        <v>0</v>
      </c>
      <c r="BU48" s="383">
        <f t="shared" si="43"/>
        <v>4.8178145754422993E-6</v>
      </c>
      <c r="BV48" s="383">
        <f t="shared" si="44"/>
        <v>2.0351470305674036E-6</v>
      </c>
      <c r="BW48" s="383">
        <f t="shared" si="94"/>
        <v>0</v>
      </c>
      <c r="BX48" s="385">
        <f t="shared" si="45"/>
        <v>1.5551221601137411E-5</v>
      </c>
      <c r="BY48" s="385"/>
      <c r="CA48" s="383">
        <f t="shared" si="46"/>
        <v>7.2849046813187172E-6</v>
      </c>
      <c r="CB48" s="383">
        <f t="shared" si="47"/>
        <v>1.031109915093674E-5</v>
      </c>
      <c r="CC48" s="383">
        <f t="shared" si="48"/>
        <v>0</v>
      </c>
      <c r="CD48" s="383">
        <f t="shared" si="49"/>
        <v>9.746119773387417E-6</v>
      </c>
      <c r="CE48" s="383">
        <f t="shared" si="50"/>
        <v>4.1016190374645859E-6</v>
      </c>
      <c r="CF48" s="383">
        <f t="shared" si="51"/>
        <v>0</v>
      </c>
      <c r="CG48" s="383">
        <f t="shared" si="52"/>
        <v>3.1443742643107461E-5</v>
      </c>
      <c r="CH48" s="383"/>
      <c r="CI48" s="398"/>
      <c r="CJ48" s="383">
        <f t="shared" si="53"/>
        <v>3.6424523406593586E-6</v>
      </c>
      <c r="CK48" s="383">
        <f t="shared" si="54"/>
        <v>5.1555495754683702E-6</v>
      </c>
      <c r="CL48" s="383">
        <f t="shared" si="55"/>
        <v>0</v>
      </c>
      <c r="CM48" s="383">
        <f t="shared" si="56"/>
        <v>4.8730598866937085E-6</v>
      </c>
      <c r="CN48" s="383">
        <f t="shared" si="57"/>
        <v>2.0508095187322929E-6</v>
      </c>
      <c r="CO48" s="383">
        <f t="shared" si="58"/>
        <v>0</v>
      </c>
      <c r="CP48" s="383">
        <f t="shared" si="95"/>
        <v>1.5721871321553731E-5</v>
      </c>
      <c r="CR48" s="377">
        <f t="shared" si="59"/>
        <v>3.1018891991195892E-9</v>
      </c>
      <c r="CS48" s="377">
        <f t="shared" si="60"/>
        <v>7.5047073804219324E-10</v>
      </c>
      <c r="CT48" s="377">
        <f t="shared" si="61"/>
        <v>0</v>
      </c>
      <c r="CU48" s="377">
        <f t="shared" si="62"/>
        <v>1.764010628727651E-10</v>
      </c>
      <c r="CV48" s="377">
        <f t="shared" si="63"/>
        <v>2.0988093115694848E-10</v>
      </c>
      <c r="CW48" s="377">
        <v>0</v>
      </c>
      <c r="CX48" s="377">
        <f t="shared" si="4"/>
        <v>4.238641931191496E-9</v>
      </c>
      <c r="CY48" s="377"/>
      <c r="CZ48" s="454"/>
      <c r="DA48" s="377">
        <f t="shared" si="64"/>
        <v>1.5509445995597946E-9</v>
      </c>
      <c r="DB48" s="377">
        <f t="shared" si="65"/>
        <v>3.7523536902109662E-10</v>
      </c>
      <c r="DC48" s="377">
        <f t="shared" si="66"/>
        <v>0</v>
      </c>
      <c r="DD48" s="377">
        <f t="shared" si="67"/>
        <v>8.820053143638255E-11</v>
      </c>
      <c r="DE48" s="377">
        <f t="shared" si="68"/>
        <v>1.0494046557847424E-10</v>
      </c>
      <c r="DF48" s="377">
        <v>0</v>
      </c>
      <c r="DG48" s="377">
        <f t="shared" si="69"/>
        <v>2.119320965595748E-9</v>
      </c>
      <c r="DJ48" s="377">
        <f t="shared" si="70"/>
        <v>3.1374581965538691E-9</v>
      </c>
      <c r="DK48" s="377">
        <f t="shared" si="71"/>
        <v>7.5907629744241358E-10</v>
      </c>
      <c r="DL48" s="377">
        <f t="shared" si="72"/>
        <v>0</v>
      </c>
      <c r="DM48" s="377">
        <f t="shared" si="73"/>
        <v>1.7842383304602167E-10</v>
      </c>
      <c r="DN48" s="377">
        <f t="shared" si="74"/>
        <v>2.114961744543161E-10</v>
      </c>
      <c r="DO48" s="377">
        <f t="shared" si="75"/>
        <v>0</v>
      </c>
      <c r="DP48" s="377">
        <f t="shared" si="96"/>
        <v>4.2864545014966208E-9</v>
      </c>
      <c r="DQ48" s="454"/>
      <c r="DS48" s="377">
        <f t="shared" si="76"/>
        <v>1.5687290982769345E-9</v>
      </c>
      <c r="DT48" s="377">
        <f t="shared" si="77"/>
        <v>3.7953814872120679E-10</v>
      </c>
      <c r="DU48" s="377">
        <f t="shared" si="78"/>
        <v>0</v>
      </c>
      <c r="DV48" s="377">
        <f t="shared" si="79"/>
        <v>8.9211916523010833E-11</v>
      </c>
      <c r="DW48" s="377">
        <f t="shared" si="80"/>
        <v>1.0574808722715805E-10</v>
      </c>
      <c r="DX48" s="377">
        <f t="shared" si="81"/>
        <v>0</v>
      </c>
      <c r="DY48" s="402">
        <f t="shared" si="97"/>
        <v>2.1432272507483104E-9</v>
      </c>
    </row>
    <row r="49" spans="13:129" x14ac:dyDescent="0.15">
      <c r="U49" s="384">
        <f>SUM(U9:U48)</f>
        <v>13.024244898837461</v>
      </c>
      <c r="V49" s="443"/>
      <c r="AE49" s="384">
        <f>SUM(AE9:AE48)</f>
        <v>12.577572691372849</v>
      </c>
      <c r="AU49" s="379"/>
      <c r="AW49" s="377">
        <f>SUM(AW9:AW48)</f>
        <v>13.133919668125769</v>
      </c>
      <c r="BF49" s="377">
        <f>SUM(BF9:BF48)</f>
        <v>12.683591496907125</v>
      </c>
      <c r="BP49" s="391">
        <f>SUM(BP9:BP48)</f>
        <v>25178.162520370191</v>
      </c>
      <c r="BX49" s="385">
        <f>SUM(BX9:BX48)</f>
        <v>24745.205553115073</v>
      </c>
      <c r="CC49" s="372">
        <v>25222.116450846264</v>
      </c>
      <c r="CE49" s="584" t="s">
        <v>1253</v>
      </c>
      <c r="CF49" s="584"/>
      <c r="CG49" s="400">
        <f>SUM(CG9:CG48)</f>
        <v>25222.053013587854</v>
      </c>
      <c r="CH49" s="400"/>
      <c r="CI49" s="399"/>
      <c r="CJ49" s="383"/>
      <c r="CK49" s="394"/>
      <c r="CL49" s="394"/>
      <c r="CM49" s="394"/>
      <c r="CN49" s="584" t="s">
        <v>1253</v>
      </c>
      <c r="CO49" s="584"/>
      <c r="CP49" s="400">
        <f>SUM(CP9:CP48)</f>
        <v>24786.946497949728</v>
      </c>
      <c r="CX49" s="377">
        <f>SUM(CX9:CX48)</f>
        <v>6.472419669400594</v>
      </c>
      <c r="CY49" s="377"/>
      <c r="CZ49" s="377"/>
      <c r="DA49" s="377"/>
      <c r="DB49" s="377"/>
      <c r="DC49" s="377"/>
      <c r="DD49" s="377"/>
      <c r="DE49" s="377"/>
      <c r="DF49" s="377"/>
      <c r="DG49" s="377">
        <f>SUM(DG9:DG48)</f>
        <v>6.2896284516827059</v>
      </c>
      <c r="DI49" s="372"/>
      <c r="DN49" s="585" t="s">
        <v>1253</v>
      </c>
      <c r="DO49" s="585"/>
      <c r="DP49" s="403">
        <f>SUM(DP9:DP48)</f>
        <v>6.5241871978096855</v>
      </c>
      <c r="DQ49" s="377"/>
      <c r="DW49" s="585" t="s">
        <v>1253</v>
      </c>
      <c r="DX49" s="585"/>
      <c r="DY49" s="403">
        <f>SUM(DY9:DY48)</f>
        <v>6.3398943206159242</v>
      </c>
    </row>
    <row r="50" spans="13:129" ht="14.5" customHeight="1" x14ac:dyDescent="0.15">
      <c r="M50" s="372"/>
      <c r="V50" s="372"/>
      <c r="AG50" s="372"/>
      <c r="AO50" s="372"/>
      <c r="AU50" s="379"/>
      <c r="AX50" s="381"/>
      <c r="BH50" s="381"/>
      <c r="BQ50" s="372"/>
      <c r="BZ50" s="372"/>
      <c r="CC50" s="372">
        <v>25188.736656746216</v>
      </c>
      <c r="CD50" s="396"/>
      <c r="CE50" s="584" t="s">
        <v>1251</v>
      </c>
      <c r="CF50" s="584"/>
      <c r="CG50" s="400">
        <f>CG9 + (prob_test_order*(SUM(CG10:CG48)))+((1-prob_test_order)*(SUM(BX10:BX48)))</f>
        <v>25182.277994559317</v>
      </c>
      <c r="CH50" s="400"/>
      <c r="CI50" s="399"/>
      <c r="CJ50" s="383"/>
      <c r="CK50" s="394"/>
      <c r="CL50" s="394"/>
      <c r="CM50" s="394"/>
      <c r="CN50" s="584" t="s">
        <v>1251</v>
      </c>
      <c r="CO50" s="584"/>
      <c r="CP50" s="400">
        <f>CP9 + (prob_test_order*(SUM(CP10:CP48)))+((1-prob_test_order)*(SUM(BX10:BX48)))</f>
        <v>24777.628935015855</v>
      </c>
      <c r="CV50" s="372" t="s">
        <v>956</v>
      </c>
      <c r="CZ50" s="381"/>
      <c r="DI50" s="372"/>
      <c r="DN50" s="585" t="s">
        <v>1251</v>
      </c>
      <c r="DO50" s="585"/>
      <c r="DP50" s="403">
        <f>DP9+((prob_test_order*(SUM(DP10:DP48)))+((1-prob_test_order)*(SUM(DG10:DG48))))</f>
        <v>6.507932793240748</v>
      </c>
      <c r="DQ50" s="377"/>
      <c r="DW50" s="585" t="s">
        <v>1251</v>
      </c>
      <c r="DX50" s="585"/>
      <c r="DY50" s="403">
        <f>DY9+((prob_test_order*(SUM(DY10:DY48)))+((1-prob_test_order)*(SUM(DG10:DG48))))</f>
        <v>6.33654041745055</v>
      </c>
    </row>
    <row r="51" spans="13:129" ht="14.5" customHeight="1" x14ac:dyDescent="0.15">
      <c r="M51" s="372"/>
      <c r="V51" s="372"/>
      <c r="AG51" s="372"/>
      <c r="AO51" s="372"/>
      <c r="AU51" s="379"/>
      <c r="AX51" s="381"/>
      <c r="BH51" s="381"/>
      <c r="BQ51" s="372"/>
      <c r="BZ51" s="372"/>
      <c r="CC51" s="372">
        <v>25166.443448233171</v>
      </c>
      <c r="CD51" s="396"/>
      <c r="CE51" s="584" t="s">
        <v>1252</v>
      </c>
      <c r="CF51" s="584"/>
      <c r="CG51" s="400">
        <f>CG9 + ((prob_test_order*prob_test_follow)*(SUM(CG10:CG48)))+((1-(prob_test_order*prob_test_follow))*SUM(BX10:BX48))</f>
        <v>25145.287226862773</v>
      </c>
      <c r="CH51" s="400"/>
      <c r="CI51" s="399"/>
      <c r="CJ51" s="383"/>
      <c r="CK51" s="394"/>
      <c r="CL51" s="394"/>
      <c r="CM51" s="394"/>
      <c r="CN51" s="584" t="s">
        <v>1252</v>
      </c>
      <c r="CO51" s="584"/>
      <c r="CP51" s="400">
        <f>CP9 + ((prob_test_order*prob_test_follow)*(SUM(CP10:CP48)))+((1-(prob_test_order*prob_test_follow))*SUM(BX10:BX48))</f>
        <v>24768.96360148735</v>
      </c>
      <c r="CR51" s="385"/>
      <c r="CZ51" s="381"/>
      <c r="DI51" s="372"/>
      <c r="DN51" s="585" t="s">
        <v>1252</v>
      </c>
      <c r="DO51" s="585"/>
      <c r="DP51" s="403">
        <f>(DP50*prob_test_follow)+(qaly_st_total*(1-prob_test_follow))</f>
        <v>6.4926514893316849</v>
      </c>
      <c r="DQ51" s="377"/>
      <c r="DW51" s="585" t="s">
        <v>1252</v>
      </c>
      <c r="DX51" s="585"/>
      <c r="DY51" s="403">
        <f>DY9 + ((prob_test_order*prob_test_follow)*(SUM(DY10:DY48)))+((1-(prob_test_order*prob_test_follow))*SUM(DG10:DG48))</f>
        <v>6.3334212875067504</v>
      </c>
    </row>
    <row r="52" spans="13:129" x14ac:dyDescent="0.15">
      <c r="M52" s="372"/>
      <c r="V52" s="372"/>
      <c r="AG52" s="372"/>
      <c r="AO52" s="372"/>
      <c r="AU52" s="379"/>
      <c r="AX52" s="381"/>
      <c r="BH52" s="381"/>
      <c r="BQ52" s="372"/>
      <c r="BZ52" s="372"/>
      <c r="CD52" s="396"/>
      <c r="CP52" s="385"/>
      <c r="CR52" s="383"/>
      <c r="CS52" s="385"/>
      <c r="CZ52" s="381"/>
      <c r="DI52" s="372"/>
      <c r="DM52" s="396"/>
      <c r="DN52" s="395"/>
      <c r="DO52" s="395"/>
      <c r="DP52" s="383"/>
      <c r="DQ52" s="383"/>
    </row>
    <row r="53" spans="13:129" x14ac:dyDescent="0.15">
      <c r="M53" s="372"/>
      <c r="V53" s="372"/>
      <c r="AG53" s="372"/>
      <c r="AO53" s="372"/>
      <c r="AU53" s="379"/>
      <c r="AX53" s="381"/>
      <c r="BH53" s="381"/>
      <c r="BQ53" s="372"/>
      <c r="BZ53" s="372"/>
      <c r="CD53" s="397"/>
      <c r="CS53" s="385"/>
      <c r="CZ53" s="381"/>
      <c r="DI53" s="372"/>
      <c r="DM53" s="396"/>
      <c r="DN53" s="582"/>
      <c r="DO53" s="582"/>
      <c r="DP53" s="383"/>
      <c r="DQ53" s="383"/>
    </row>
    <row r="54" spans="13:129" x14ac:dyDescent="0.15">
      <c r="M54" s="372"/>
      <c r="V54" s="372"/>
      <c r="AG54" s="372"/>
      <c r="AO54" s="372"/>
      <c r="AU54" s="379"/>
      <c r="AX54" s="381"/>
      <c r="BH54" s="381"/>
      <c r="BQ54" s="372"/>
      <c r="BZ54" s="372"/>
      <c r="CD54" s="397"/>
      <c r="CS54" s="385"/>
      <c r="CZ54" s="381"/>
      <c r="DI54" s="372"/>
      <c r="DM54" s="396"/>
      <c r="DN54" s="395"/>
      <c r="DO54" s="395"/>
      <c r="DP54" s="383"/>
      <c r="DQ54" s="383"/>
    </row>
    <row r="55" spans="13:129" x14ac:dyDescent="0.15">
      <c r="M55" s="372"/>
      <c r="V55" s="372"/>
      <c r="AG55" s="372"/>
      <c r="AO55" s="372"/>
      <c r="AU55" s="379"/>
      <c r="AX55" s="381"/>
      <c r="BH55" s="381"/>
      <c r="BQ55" s="372"/>
      <c r="BZ55" s="372"/>
      <c r="CD55" s="397"/>
      <c r="CS55" s="385"/>
      <c r="CZ55" s="381"/>
      <c r="DI55" s="372"/>
      <c r="DM55" s="396"/>
      <c r="DN55" s="395"/>
      <c r="DO55" s="395"/>
      <c r="DP55" s="383"/>
      <c r="DQ55" s="383"/>
      <c r="DW55" s="381"/>
      <c r="DX55" s="381"/>
    </row>
    <row r="56" spans="13:129" x14ac:dyDescent="0.15">
      <c r="M56" s="372"/>
      <c r="V56" s="372"/>
      <c r="AG56" s="372"/>
      <c r="AO56" s="372"/>
      <c r="AU56" s="379"/>
      <c r="AX56" s="381"/>
      <c r="BH56" s="381"/>
      <c r="BQ56" s="372"/>
      <c r="BZ56" s="372"/>
      <c r="CN56" s="372" t="s">
        <v>956</v>
      </c>
      <c r="CS56" s="384"/>
      <c r="CZ56" s="381"/>
      <c r="DI56" s="372"/>
      <c r="DQ56" s="372"/>
      <c r="DV56" s="385"/>
    </row>
    <row r="57" spans="13:129" x14ac:dyDescent="0.15">
      <c r="M57" s="372"/>
      <c r="V57" s="372"/>
      <c r="AG57" s="372"/>
      <c r="AO57" s="372"/>
      <c r="AU57" s="379"/>
      <c r="AX57" s="381"/>
      <c r="BH57" s="381"/>
      <c r="BQ57" s="372"/>
      <c r="BZ57" s="372"/>
      <c r="CV57" s="372" t="s">
        <v>1237</v>
      </c>
      <c r="CW57" s="372" t="s">
        <v>956</v>
      </c>
      <c r="CZ57" s="381"/>
      <c r="DI57" s="372"/>
      <c r="DQ57" s="372"/>
      <c r="DU57" s="384"/>
      <c r="DV57" s="384"/>
    </row>
    <row r="58" spans="13:129" x14ac:dyDescent="0.15">
      <c r="M58" s="372"/>
      <c r="V58" s="372"/>
      <c r="AG58" s="372"/>
      <c r="AO58" s="372"/>
      <c r="AU58" s="379"/>
      <c r="AX58" s="381"/>
      <c r="BH58" s="381"/>
      <c r="BQ58" s="372"/>
      <c r="BZ58" s="372"/>
      <c r="CZ58" s="381"/>
      <c r="DI58" s="372"/>
      <c r="DQ58" s="372"/>
    </row>
    <row r="59" spans="13:129" x14ac:dyDescent="0.15">
      <c r="M59" s="372"/>
      <c r="V59" s="372"/>
      <c r="AG59" s="372"/>
      <c r="AO59" s="372"/>
      <c r="AU59" s="379"/>
      <c r="AX59" s="381"/>
      <c r="BH59" s="381"/>
      <c r="BQ59" s="372"/>
      <c r="BZ59" s="372"/>
      <c r="CZ59" s="381"/>
      <c r="DI59" s="372"/>
      <c r="DQ59" s="372"/>
    </row>
    <row r="60" spans="13:129" x14ac:dyDescent="0.15">
      <c r="M60" s="372"/>
      <c r="V60" s="372"/>
      <c r="AG60" s="372"/>
      <c r="AO60" s="372"/>
      <c r="AU60" s="379"/>
      <c r="AX60" s="381"/>
      <c r="BH60" s="381"/>
      <c r="BQ60" s="372"/>
      <c r="BZ60" s="372"/>
      <c r="CZ60" s="381"/>
      <c r="DI60" s="372"/>
      <c r="DQ60" s="372"/>
    </row>
    <row r="61" spans="13:129" x14ac:dyDescent="0.15">
      <c r="M61" s="372"/>
      <c r="V61" s="372"/>
      <c r="AG61" s="372"/>
      <c r="AO61" s="372"/>
      <c r="AU61" s="379"/>
      <c r="AX61" s="381"/>
      <c r="BH61" s="381"/>
      <c r="BQ61" s="372"/>
      <c r="BZ61" s="372"/>
      <c r="CZ61" s="381"/>
      <c r="DI61" s="372"/>
      <c r="DQ61" s="372"/>
    </row>
    <row r="62" spans="13:129" x14ac:dyDescent="0.15">
      <c r="M62" s="372"/>
      <c r="V62" s="372"/>
      <c r="AG62" s="372"/>
      <c r="AO62" s="372"/>
      <c r="AU62" s="379"/>
      <c r="AX62" s="381"/>
      <c r="BH62" s="381"/>
      <c r="BQ62" s="372"/>
      <c r="BZ62" s="372"/>
      <c r="CZ62" s="381"/>
      <c r="DI62" s="372"/>
      <c r="DQ62" s="372"/>
    </row>
    <row r="63" spans="13:129" x14ac:dyDescent="0.15">
      <c r="M63" s="372"/>
      <c r="V63" s="372"/>
      <c r="AG63" s="372"/>
      <c r="AO63" s="372"/>
      <c r="AU63" s="379"/>
      <c r="AX63" s="381"/>
      <c r="BH63" s="381"/>
      <c r="BQ63" s="372"/>
      <c r="BZ63" s="372"/>
      <c r="CZ63" s="381"/>
      <c r="DI63" s="372"/>
      <c r="DQ63" s="372"/>
    </row>
    <row r="64" spans="13:129" x14ac:dyDescent="0.15">
      <c r="M64" s="372"/>
      <c r="V64" s="372"/>
      <c r="AG64" s="372"/>
      <c r="AO64" s="372"/>
      <c r="AU64" s="379"/>
      <c r="AX64" s="381"/>
      <c r="BH64" s="381"/>
      <c r="BQ64" s="372"/>
      <c r="BZ64" s="372"/>
      <c r="CZ64" s="381"/>
      <c r="DI64" s="372"/>
      <c r="DQ64" s="372"/>
    </row>
    <row r="65" spans="13:121" x14ac:dyDescent="0.15">
      <c r="M65" s="372"/>
      <c r="V65" s="372"/>
      <c r="AG65" s="372"/>
      <c r="AO65" s="372"/>
      <c r="AU65" s="379"/>
      <c r="AX65" s="381"/>
      <c r="BH65" s="381"/>
      <c r="BQ65" s="372"/>
      <c r="BZ65" s="372"/>
      <c r="CZ65" s="381"/>
      <c r="DI65" s="372"/>
      <c r="DQ65" s="372"/>
    </row>
    <row r="66" spans="13:121" x14ac:dyDescent="0.15">
      <c r="M66" s="372"/>
      <c r="V66" s="372"/>
      <c r="AG66" s="372"/>
      <c r="AO66" s="372"/>
      <c r="AU66" s="379"/>
      <c r="AX66" s="381"/>
      <c r="BH66" s="381"/>
      <c r="BQ66" s="372"/>
      <c r="BZ66" s="372"/>
      <c r="CZ66" s="381"/>
      <c r="DI66" s="372"/>
      <c r="DQ66" s="372"/>
    </row>
    <row r="67" spans="13:121" x14ac:dyDescent="0.15">
      <c r="M67" s="372"/>
      <c r="V67" s="372"/>
      <c r="AG67" s="372"/>
      <c r="AO67" s="372"/>
      <c r="AU67" s="379"/>
      <c r="AX67" s="381"/>
      <c r="BH67" s="381"/>
      <c r="BQ67" s="372"/>
      <c r="BZ67" s="372"/>
      <c r="CZ67" s="381"/>
      <c r="DI67" s="372"/>
      <c r="DQ67" s="372"/>
    </row>
    <row r="68" spans="13:121" x14ac:dyDescent="0.15">
      <c r="M68" s="372"/>
      <c r="V68" s="372"/>
      <c r="AG68" s="372"/>
      <c r="AO68" s="372"/>
      <c r="AU68" s="379"/>
      <c r="AX68" s="381"/>
      <c r="BH68" s="381"/>
      <c r="BQ68" s="372"/>
      <c r="BZ68" s="372"/>
      <c r="CZ68" s="381"/>
      <c r="DI68" s="372"/>
      <c r="DQ68" s="372"/>
    </row>
    <row r="69" spans="13:121" x14ac:dyDescent="0.15">
      <c r="M69" s="372"/>
      <c r="V69" s="372"/>
      <c r="AG69" s="372"/>
      <c r="AO69" s="372"/>
      <c r="AU69" s="379"/>
      <c r="AX69" s="381"/>
      <c r="BH69" s="381"/>
      <c r="BQ69" s="372"/>
      <c r="BZ69" s="372"/>
      <c r="CZ69" s="381"/>
      <c r="DI69" s="372"/>
      <c r="DQ69" s="372"/>
    </row>
    <row r="70" spans="13:121" x14ac:dyDescent="0.15">
      <c r="M70" s="372"/>
      <c r="V70" s="372"/>
      <c r="AG70" s="372"/>
      <c r="AO70" s="372"/>
      <c r="AX70" s="381"/>
      <c r="BH70" s="381"/>
      <c r="BQ70" s="372"/>
      <c r="BZ70" s="372"/>
      <c r="CZ70" s="381"/>
      <c r="DI70" s="372"/>
      <c r="DQ70" s="372"/>
    </row>
    <row r="71" spans="13:121" x14ac:dyDescent="0.15">
      <c r="M71" s="372"/>
      <c r="V71" s="372"/>
      <c r="AG71" s="372"/>
      <c r="AO71" s="372"/>
      <c r="AX71" s="381"/>
      <c r="BH71" s="381"/>
      <c r="BQ71" s="372"/>
      <c r="BZ71" s="372"/>
      <c r="CZ71" s="381"/>
      <c r="DI71" s="372"/>
      <c r="DQ71" s="372"/>
    </row>
    <row r="72" spans="13:121" x14ac:dyDescent="0.15">
      <c r="M72" s="372"/>
      <c r="V72" s="372"/>
      <c r="AG72" s="372"/>
      <c r="AO72" s="372"/>
      <c r="AX72" s="381"/>
      <c r="BH72" s="381"/>
      <c r="BQ72" s="372"/>
      <c r="BZ72" s="372"/>
      <c r="CZ72" s="381"/>
      <c r="DI72" s="372"/>
      <c r="DQ72" s="372"/>
    </row>
    <row r="73" spans="13:121" x14ac:dyDescent="0.15">
      <c r="M73" s="372"/>
      <c r="V73" s="372"/>
      <c r="AG73" s="372"/>
      <c r="AO73" s="372"/>
      <c r="AX73" s="381"/>
      <c r="BH73" s="381"/>
      <c r="BQ73" s="372"/>
      <c r="BZ73" s="372"/>
      <c r="CZ73" s="381"/>
      <c r="DI73" s="372"/>
      <c r="DQ73" s="372"/>
    </row>
    <row r="74" spans="13:121" x14ac:dyDescent="0.15">
      <c r="M74" s="372"/>
      <c r="V74" s="372"/>
      <c r="AG74" s="372"/>
      <c r="AO74" s="372"/>
      <c r="AX74" s="381"/>
      <c r="BH74" s="381"/>
      <c r="BQ74" s="372"/>
      <c r="BZ74" s="372"/>
      <c r="CZ74" s="381"/>
      <c r="DI74" s="372"/>
      <c r="DQ74" s="372"/>
    </row>
    <row r="75" spans="13:121" x14ac:dyDescent="0.15">
      <c r="M75" s="372"/>
      <c r="V75" s="372"/>
      <c r="AG75" s="372"/>
      <c r="AO75" s="372"/>
      <c r="AX75" s="381"/>
      <c r="BH75" s="381"/>
      <c r="BQ75" s="372"/>
      <c r="BZ75" s="372"/>
      <c r="CZ75" s="381"/>
      <c r="DI75" s="372"/>
      <c r="DQ75" s="372"/>
    </row>
    <row r="76" spans="13:121" x14ac:dyDescent="0.15">
      <c r="M76" s="372"/>
      <c r="V76" s="372"/>
      <c r="AG76" s="372"/>
      <c r="AO76" s="372"/>
      <c r="AX76" s="381"/>
      <c r="BH76" s="381"/>
      <c r="BQ76" s="372"/>
      <c r="BZ76" s="372"/>
      <c r="CZ76" s="381"/>
      <c r="DI76" s="372"/>
      <c r="DQ76" s="372"/>
    </row>
    <row r="77" spans="13:121" x14ac:dyDescent="0.15">
      <c r="M77" s="372"/>
      <c r="V77" s="372"/>
      <c r="AG77" s="372"/>
      <c r="AO77" s="372"/>
      <c r="AX77" s="381"/>
      <c r="BH77" s="381"/>
      <c r="BQ77" s="372"/>
      <c r="BZ77" s="372"/>
      <c r="CZ77" s="381"/>
      <c r="DI77" s="372"/>
      <c r="DQ77" s="372"/>
    </row>
    <row r="78" spans="13:121" x14ac:dyDescent="0.15">
      <c r="M78" s="372"/>
      <c r="V78" s="372"/>
      <c r="AG78" s="372"/>
      <c r="AO78" s="372"/>
      <c r="AX78" s="381"/>
      <c r="BH78" s="381"/>
      <c r="BQ78" s="372"/>
      <c r="BZ78" s="372"/>
      <c r="CZ78" s="381"/>
      <c r="DI78" s="372"/>
      <c r="DQ78" s="372"/>
    </row>
    <row r="79" spans="13:121" x14ac:dyDescent="0.15">
      <c r="M79" s="372"/>
      <c r="V79" s="372"/>
      <c r="AG79" s="372"/>
      <c r="AO79" s="372"/>
      <c r="AX79" s="381"/>
      <c r="BH79" s="381"/>
      <c r="BQ79" s="372"/>
      <c r="BZ79" s="372"/>
      <c r="CZ79" s="381"/>
      <c r="DI79" s="372"/>
      <c r="DQ79" s="372"/>
    </row>
    <row r="80" spans="13:121" x14ac:dyDescent="0.15">
      <c r="M80" s="372"/>
      <c r="V80" s="372"/>
      <c r="AG80" s="372"/>
      <c r="AO80" s="372"/>
      <c r="AX80" s="381"/>
      <c r="BH80" s="381"/>
      <c r="BQ80" s="372"/>
      <c r="BZ80" s="372"/>
      <c r="CZ80" s="381"/>
      <c r="DI80" s="372"/>
      <c r="DQ80" s="372"/>
    </row>
    <row r="81" spans="13:121" x14ac:dyDescent="0.15">
      <c r="M81" s="372"/>
      <c r="V81" s="372"/>
      <c r="AG81" s="372"/>
      <c r="AO81" s="372"/>
      <c r="AX81" s="381"/>
      <c r="BH81" s="381"/>
      <c r="BQ81" s="372"/>
      <c r="BZ81" s="372"/>
      <c r="CZ81" s="381"/>
      <c r="DI81" s="372"/>
      <c r="DQ81" s="372"/>
    </row>
    <row r="82" spans="13:121" x14ac:dyDescent="0.15">
      <c r="M82" s="372"/>
      <c r="V82" s="372"/>
      <c r="AG82" s="372"/>
      <c r="AO82" s="372"/>
      <c r="AX82" s="381"/>
      <c r="BH82" s="381"/>
      <c r="BQ82" s="372"/>
      <c r="BZ82" s="372"/>
      <c r="CZ82" s="381"/>
      <c r="DI82" s="372"/>
      <c r="DQ82" s="372"/>
    </row>
    <row r="83" spans="13:121" x14ac:dyDescent="0.15">
      <c r="M83" s="372"/>
      <c r="V83" s="372"/>
      <c r="AG83" s="372"/>
      <c r="AO83" s="372"/>
      <c r="AX83" s="381"/>
      <c r="BH83" s="381"/>
      <c r="BQ83" s="372"/>
      <c r="BZ83" s="372"/>
      <c r="CZ83" s="381"/>
      <c r="DI83" s="372"/>
      <c r="DQ83" s="372"/>
    </row>
    <row r="84" spans="13:121" x14ac:dyDescent="0.15">
      <c r="M84" s="372"/>
      <c r="V84" s="372"/>
      <c r="AG84" s="372"/>
      <c r="AO84" s="372"/>
      <c r="AX84" s="381"/>
      <c r="BH84" s="381"/>
      <c r="BQ84" s="372"/>
      <c r="BZ84" s="372"/>
      <c r="CZ84" s="381"/>
      <c r="DI84" s="372"/>
      <c r="DQ84" s="372"/>
    </row>
    <row r="85" spans="13:121" x14ac:dyDescent="0.15">
      <c r="M85" s="372"/>
      <c r="V85" s="372"/>
      <c r="AG85" s="372"/>
      <c r="AO85" s="372"/>
      <c r="AX85" s="381"/>
      <c r="BH85" s="381"/>
      <c r="BQ85" s="372"/>
      <c r="BZ85" s="372"/>
      <c r="CZ85" s="381"/>
      <c r="DI85" s="372"/>
      <c r="DQ85" s="372"/>
    </row>
    <row r="86" spans="13:121" x14ac:dyDescent="0.15">
      <c r="M86" s="372"/>
      <c r="V86" s="372"/>
      <c r="AG86" s="372"/>
      <c r="AO86" s="372"/>
      <c r="AX86" s="381"/>
      <c r="BH86" s="381"/>
      <c r="BQ86" s="372"/>
      <c r="BZ86" s="372"/>
      <c r="CZ86" s="381"/>
      <c r="DI86" s="372"/>
      <c r="DQ86" s="372"/>
    </row>
    <row r="87" spans="13:121" x14ac:dyDescent="0.15">
      <c r="M87" s="372"/>
      <c r="V87" s="372"/>
      <c r="AG87" s="372"/>
      <c r="AO87" s="372"/>
      <c r="AX87" s="381"/>
      <c r="BH87" s="381"/>
      <c r="BQ87" s="372"/>
      <c r="BZ87" s="372"/>
      <c r="CZ87" s="381"/>
      <c r="DI87" s="372"/>
      <c r="DQ87" s="372"/>
    </row>
    <row r="88" spans="13:121" x14ac:dyDescent="0.15">
      <c r="M88" s="372"/>
      <c r="V88" s="372"/>
      <c r="AG88" s="372"/>
      <c r="AO88" s="372"/>
      <c r="AX88" s="381"/>
      <c r="BH88" s="381"/>
      <c r="BQ88" s="372"/>
      <c r="BZ88" s="372"/>
      <c r="CZ88" s="381"/>
      <c r="DI88" s="372"/>
      <c r="DQ88" s="372"/>
    </row>
    <row r="89" spans="13:121" x14ac:dyDescent="0.15">
      <c r="M89" s="372"/>
      <c r="V89" s="372"/>
      <c r="AG89" s="372"/>
      <c r="AO89" s="372"/>
      <c r="AX89" s="381"/>
      <c r="BH89" s="381"/>
      <c r="BQ89" s="372"/>
      <c r="BZ89" s="372"/>
      <c r="CZ89" s="381"/>
      <c r="DI89" s="372"/>
      <c r="DQ89" s="372"/>
    </row>
    <row r="90" spans="13:121" x14ac:dyDescent="0.15">
      <c r="M90" s="372"/>
      <c r="V90" s="372"/>
      <c r="AG90" s="372"/>
      <c r="AO90" s="372"/>
      <c r="AX90" s="381"/>
      <c r="BH90" s="381"/>
      <c r="BQ90" s="372"/>
      <c r="BZ90" s="372"/>
      <c r="CZ90" s="381"/>
      <c r="DI90" s="372"/>
      <c r="DQ90" s="372"/>
    </row>
    <row r="91" spans="13:121" x14ac:dyDescent="0.15">
      <c r="M91" s="372"/>
      <c r="V91" s="372"/>
      <c r="AG91" s="372"/>
      <c r="AO91" s="372"/>
      <c r="AX91" s="381"/>
      <c r="BH91" s="381"/>
      <c r="BQ91" s="372"/>
      <c r="BZ91" s="372"/>
      <c r="CZ91" s="381"/>
      <c r="DI91" s="372"/>
      <c r="DQ91" s="372"/>
    </row>
    <row r="92" spans="13:121" x14ac:dyDescent="0.15">
      <c r="M92" s="372"/>
      <c r="V92" s="372"/>
      <c r="AG92" s="372"/>
      <c r="AO92" s="372"/>
      <c r="AX92" s="381"/>
      <c r="BH92" s="381"/>
      <c r="BQ92" s="372"/>
      <c r="BZ92" s="372"/>
      <c r="CZ92" s="381"/>
      <c r="DI92" s="372"/>
      <c r="DQ92" s="372"/>
    </row>
    <row r="93" spans="13:121" x14ac:dyDescent="0.15">
      <c r="M93" s="372"/>
      <c r="V93" s="372"/>
      <c r="AG93" s="372"/>
      <c r="AO93" s="372"/>
      <c r="AX93" s="381"/>
      <c r="BH93" s="381"/>
      <c r="BQ93" s="372"/>
      <c r="BZ93" s="372"/>
      <c r="CZ93" s="381"/>
      <c r="DI93" s="372"/>
      <c r="DQ93" s="372"/>
    </row>
    <row r="94" spans="13:121" x14ac:dyDescent="0.15">
      <c r="M94" s="372"/>
      <c r="V94" s="372"/>
      <c r="AG94" s="372"/>
      <c r="AO94" s="372"/>
      <c r="AX94" s="381"/>
      <c r="BH94" s="381"/>
      <c r="BQ94" s="372"/>
      <c r="BZ94" s="372"/>
      <c r="CZ94" s="381"/>
      <c r="DI94" s="372"/>
      <c r="DQ94" s="372"/>
    </row>
    <row r="95" spans="13:121" x14ac:dyDescent="0.15">
      <c r="M95" s="372"/>
      <c r="V95" s="372"/>
      <c r="AG95" s="372"/>
      <c r="AO95" s="372"/>
      <c r="AX95" s="381"/>
      <c r="BH95" s="381"/>
      <c r="BQ95" s="372"/>
      <c r="BZ95" s="372"/>
      <c r="CZ95" s="381"/>
      <c r="DI95" s="372"/>
      <c r="DQ95" s="372"/>
    </row>
    <row r="96" spans="13:121" x14ac:dyDescent="0.15">
      <c r="M96" s="372"/>
      <c r="V96" s="372"/>
      <c r="AG96" s="372"/>
      <c r="AO96" s="372"/>
      <c r="AX96" s="381"/>
      <c r="BH96" s="381"/>
      <c r="BQ96" s="372"/>
      <c r="BZ96" s="372"/>
      <c r="CZ96" s="381"/>
      <c r="DI96" s="372"/>
      <c r="DQ96" s="372"/>
    </row>
    <row r="97" spans="13:121" x14ac:dyDescent="0.15">
      <c r="M97" s="372"/>
      <c r="V97" s="372"/>
      <c r="AG97" s="372"/>
      <c r="AO97" s="372"/>
      <c r="AX97" s="381"/>
      <c r="BH97" s="381"/>
      <c r="BQ97" s="372"/>
      <c r="BZ97" s="372"/>
      <c r="CZ97" s="381"/>
      <c r="DI97" s="372"/>
      <c r="DQ97" s="372"/>
    </row>
    <row r="98" spans="13:121" x14ac:dyDescent="0.15">
      <c r="M98" s="372"/>
      <c r="V98" s="372"/>
      <c r="AG98" s="372"/>
      <c r="AO98" s="372"/>
      <c r="AX98" s="381"/>
      <c r="BH98" s="381"/>
      <c r="BQ98" s="372"/>
      <c r="BZ98" s="372"/>
      <c r="CZ98" s="381"/>
      <c r="DI98" s="372"/>
      <c r="DQ98" s="372"/>
    </row>
    <row r="99" spans="13:121" x14ac:dyDescent="0.15">
      <c r="M99" s="372"/>
      <c r="V99" s="372"/>
      <c r="AG99" s="372"/>
      <c r="AO99" s="372"/>
      <c r="AX99" s="381"/>
      <c r="BH99" s="381"/>
      <c r="BQ99" s="372"/>
      <c r="BZ99" s="372"/>
      <c r="CZ99" s="381"/>
      <c r="DI99" s="372"/>
      <c r="DQ99" s="372"/>
    </row>
    <row r="100" spans="13:121" x14ac:dyDescent="0.15">
      <c r="M100" s="372"/>
      <c r="V100" s="372"/>
      <c r="AG100" s="372"/>
      <c r="AO100" s="372"/>
      <c r="AX100" s="381"/>
      <c r="BH100" s="381"/>
      <c r="BQ100" s="372"/>
      <c r="BZ100" s="372"/>
      <c r="CZ100" s="381"/>
      <c r="DI100" s="372"/>
      <c r="DQ100" s="372"/>
    </row>
    <row r="101" spans="13:121" x14ac:dyDescent="0.15">
      <c r="M101" s="372"/>
      <c r="V101" s="372"/>
      <c r="AG101" s="372"/>
      <c r="AO101" s="372"/>
      <c r="AX101" s="381"/>
      <c r="BH101" s="381"/>
      <c r="BQ101" s="372"/>
      <c r="BZ101" s="372"/>
      <c r="CZ101" s="381"/>
      <c r="DI101" s="372"/>
      <c r="DQ101" s="372"/>
    </row>
    <row r="102" spans="13:121" x14ac:dyDescent="0.15">
      <c r="M102" s="372"/>
      <c r="V102" s="372"/>
      <c r="AG102" s="372"/>
      <c r="AO102" s="372"/>
      <c r="AX102" s="381"/>
      <c r="BH102" s="381"/>
      <c r="BQ102" s="372"/>
      <c r="BZ102" s="372"/>
      <c r="CZ102" s="381"/>
      <c r="DI102" s="372"/>
      <c r="DQ102" s="372"/>
    </row>
    <row r="103" spans="13:121" x14ac:dyDescent="0.15">
      <c r="M103" s="372"/>
      <c r="V103" s="372"/>
      <c r="AG103" s="372"/>
      <c r="AO103" s="372"/>
      <c r="AX103" s="381"/>
      <c r="BH103" s="381"/>
      <c r="BQ103" s="372"/>
      <c r="BZ103" s="372"/>
      <c r="CZ103" s="381"/>
      <c r="DI103" s="372"/>
      <c r="DQ103" s="372"/>
    </row>
    <row r="104" spans="13:121" x14ac:dyDescent="0.15">
      <c r="M104" s="372"/>
      <c r="V104" s="372"/>
      <c r="AG104" s="372"/>
      <c r="AO104" s="372"/>
      <c r="AX104" s="381"/>
      <c r="BH104" s="381"/>
      <c r="BQ104" s="372"/>
      <c r="BZ104" s="372"/>
      <c r="CZ104" s="381"/>
      <c r="DI104" s="372"/>
      <c r="DQ104" s="372"/>
    </row>
    <row r="105" spans="13:121" x14ac:dyDescent="0.15">
      <c r="M105" s="372"/>
      <c r="V105" s="372"/>
      <c r="AG105" s="372"/>
      <c r="AO105" s="372"/>
      <c r="AX105" s="381"/>
      <c r="BH105" s="381"/>
      <c r="BQ105" s="372"/>
      <c r="BZ105" s="372"/>
      <c r="CZ105" s="381"/>
      <c r="DI105" s="372"/>
      <c r="DQ105" s="372"/>
    </row>
    <row r="106" spans="13:121" x14ac:dyDescent="0.15">
      <c r="M106" s="372"/>
      <c r="V106" s="372"/>
      <c r="AG106" s="372"/>
      <c r="AO106" s="372"/>
      <c r="AX106" s="381"/>
      <c r="BH106" s="381"/>
      <c r="BQ106" s="372"/>
      <c r="BZ106" s="372"/>
      <c r="CZ106" s="381"/>
      <c r="DI106" s="372"/>
      <c r="DQ106" s="372"/>
    </row>
    <row r="107" spans="13:121" x14ac:dyDescent="0.15">
      <c r="M107" s="372"/>
      <c r="V107" s="372"/>
      <c r="AG107" s="372"/>
      <c r="AO107" s="372"/>
      <c r="AX107" s="381"/>
      <c r="BH107" s="381"/>
      <c r="BQ107" s="372"/>
      <c r="BZ107" s="372"/>
      <c r="CZ107" s="381"/>
      <c r="DI107" s="372"/>
      <c r="DQ107" s="372"/>
    </row>
    <row r="108" spans="13:121" x14ac:dyDescent="0.15">
      <c r="M108" s="372"/>
      <c r="V108" s="372"/>
      <c r="AG108" s="372"/>
      <c r="AO108" s="372"/>
      <c r="AX108" s="381"/>
      <c r="BH108" s="381"/>
      <c r="BQ108" s="372"/>
      <c r="BZ108" s="372"/>
      <c r="CZ108" s="381"/>
      <c r="DI108" s="372"/>
      <c r="DQ108" s="372"/>
    </row>
    <row r="109" spans="13:121" x14ac:dyDescent="0.15">
      <c r="M109" s="372"/>
      <c r="V109" s="372"/>
      <c r="AG109" s="372"/>
      <c r="AO109" s="372"/>
      <c r="AX109" s="381"/>
      <c r="BH109" s="381"/>
      <c r="BQ109" s="372"/>
      <c r="BZ109" s="372"/>
      <c r="CZ109" s="381"/>
      <c r="DI109" s="372"/>
      <c r="DQ109" s="372"/>
    </row>
    <row r="110" spans="13:121" x14ac:dyDescent="0.15">
      <c r="M110" s="372"/>
      <c r="V110" s="372"/>
      <c r="AG110" s="372"/>
      <c r="AO110" s="372"/>
      <c r="AX110" s="381"/>
      <c r="BH110" s="381"/>
      <c r="BQ110" s="372"/>
      <c r="BZ110" s="372"/>
      <c r="CZ110" s="381"/>
      <c r="DI110" s="372"/>
      <c r="DQ110" s="372"/>
    </row>
    <row r="111" spans="13:121" x14ac:dyDescent="0.15">
      <c r="M111" s="372"/>
      <c r="V111" s="372"/>
      <c r="AG111" s="372"/>
      <c r="AO111" s="372"/>
      <c r="AX111" s="381"/>
      <c r="BH111" s="381"/>
      <c r="BQ111" s="372"/>
      <c r="BZ111" s="372"/>
      <c r="CZ111" s="381"/>
      <c r="DI111" s="372"/>
      <c r="DQ111" s="372"/>
    </row>
    <row r="112" spans="13:121" x14ac:dyDescent="0.15">
      <c r="M112" s="372"/>
      <c r="V112" s="372"/>
      <c r="AG112" s="372"/>
      <c r="AO112" s="372"/>
      <c r="AX112" s="381"/>
      <c r="BH112" s="381"/>
      <c r="BQ112" s="372"/>
      <c r="BZ112" s="372"/>
      <c r="CZ112" s="381"/>
      <c r="DI112" s="372"/>
      <c r="DQ112" s="372"/>
    </row>
    <row r="113" spans="13:121" x14ac:dyDescent="0.15">
      <c r="M113" s="372"/>
      <c r="V113" s="372"/>
      <c r="AG113" s="372"/>
      <c r="AO113" s="372"/>
      <c r="AX113" s="381"/>
      <c r="BH113" s="381"/>
      <c r="BQ113" s="372"/>
      <c r="BZ113" s="372"/>
      <c r="CZ113" s="381"/>
      <c r="DI113" s="372"/>
      <c r="DQ113" s="372"/>
    </row>
    <row r="114" spans="13:121" x14ac:dyDescent="0.15">
      <c r="M114" s="372"/>
      <c r="V114" s="372"/>
      <c r="AG114" s="372"/>
      <c r="AO114" s="372"/>
      <c r="AX114" s="381"/>
      <c r="BH114" s="381"/>
      <c r="BQ114" s="372"/>
      <c r="BZ114" s="372"/>
      <c r="CZ114" s="381"/>
      <c r="DI114" s="372"/>
      <c r="DQ114" s="372"/>
    </row>
    <row r="115" spans="13:121" x14ac:dyDescent="0.15">
      <c r="M115" s="372"/>
      <c r="V115" s="372"/>
      <c r="AG115" s="372"/>
      <c r="AO115" s="372"/>
      <c r="AX115" s="381"/>
      <c r="BH115" s="381"/>
      <c r="BQ115" s="372"/>
      <c r="BZ115" s="372"/>
      <c r="CZ115" s="381"/>
      <c r="DI115" s="372"/>
      <c r="DQ115" s="372"/>
    </row>
    <row r="116" spans="13:121" x14ac:dyDescent="0.15">
      <c r="M116" s="372"/>
      <c r="V116" s="372"/>
      <c r="AG116" s="372"/>
      <c r="AO116" s="372"/>
      <c r="AX116" s="381"/>
      <c r="BH116" s="381"/>
      <c r="BQ116" s="372"/>
      <c r="BZ116" s="372"/>
      <c r="CZ116" s="381"/>
      <c r="DI116" s="372"/>
      <c r="DQ116" s="372"/>
    </row>
    <row r="117" spans="13:121" x14ac:dyDescent="0.15">
      <c r="M117" s="372"/>
      <c r="V117" s="372"/>
      <c r="AG117" s="372"/>
      <c r="AO117" s="372"/>
      <c r="AX117" s="381"/>
      <c r="BH117" s="381"/>
      <c r="BQ117" s="372"/>
      <c r="BZ117" s="372"/>
      <c r="CZ117" s="381"/>
      <c r="DI117" s="372"/>
      <c r="DQ117" s="372"/>
    </row>
    <row r="118" spans="13:121" x14ac:dyDescent="0.15">
      <c r="M118" s="372"/>
      <c r="V118" s="372"/>
      <c r="AG118" s="372"/>
      <c r="AO118" s="372"/>
      <c r="AX118" s="381"/>
      <c r="BH118" s="381"/>
      <c r="BQ118" s="372"/>
      <c r="BZ118" s="372"/>
      <c r="CZ118" s="381"/>
      <c r="DI118" s="372"/>
      <c r="DQ118" s="372"/>
    </row>
    <row r="119" spans="13:121" x14ac:dyDescent="0.15">
      <c r="M119" s="372"/>
      <c r="V119" s="372"/>
      <c r="AG119" s="372"/>
      <c r="AO119" s="372"/>
      <c r="AX119" s="381"/>
      <c r="BH119" s="381"/>
      <c r="BQ119" s="372"/>
      <c r="BZ119" s="372"/>
      <c r="CZ119" s="381"/>
      <c r="DI119" s="372"/>
      <c r="DQ119" s="372"/>
    </row>
    <row r="120" spans="13:121" x14ac:dyDescent="0.15">
      <c r="M120" s="372"/>
      <c r="V120" s="372"/>
      <c r="AG120" s="372"/>
      <c r="AO120" s="372"/>
      <c r="AX120" s="381"/>
      <c r="BH120" s="381"/>
      <c r="BQ120" s="372"/>
      <c r="BZ120" s="372"/>
      <c r="CZ120" s="381"/>
      <c r="DI120" s="372"/>
      <c r="DQ120" s="372"/>
    </row>
    <row r="121" spans="13:121" x14ac:dyDescent="0.15">
      <c r="M121" s="372"/>
      <c r="V121" s="372"/>
      <c r="AG121" s="372"/>
      <c r="AO121" s="372"/>
      <c r="AX121" s="381"/>
      <c r="BH121" s="381"/>
      <c r="BQ121" s="372"/>
      <c r="BZ121" s="372"/>
      <c r="CZ121" s="381"/>
      <c r="DI121" s="372"/>
      <c r="DQ121" s="372"/>
    </row>
    <row r="122" spans="13:121" x14ac:dyDescent="0.15">
      <c r="M122" s="372"/>
      <c r="V122" s="372"/>
      <c r="AG122" s="372"/>
      <c r="AO122" s="372"/>
      <c r="AX122" s="381"/>
      <c r="BH122" s="381"/>
      <c r="BQ122" s="372"/>
      <c r="BZ122" s="372"/>
      <c r="CZ122" s="381"/>
      <c r="DI122" s="372"/>
      <c r="DQ122" s="372"/>
    </row>
    <row r="123" spans="13:121" x14ac:dyDescent="0.15">
      <c r="M123" s="372"/>
      <c r="V123" s="372"/>
      <c r="AG123" s="372"/>
      <c r="AO123" s="372"/>
      <c r="AX123" s="381"/>
      <c r="BH123" s="381"/>
      <c r="BQ123" s="372"/>
      <c r="BZ123" s="372"/>
      <c r="CZ123" s="381"/>
      <c r="DI123" s="372"/>
      <c r="DQ123" s="372"/>
    </row>
    <row r="124" spans="13:121" x14ac:dyDescent="0.15">
      <c r="M124" s="372"/>
      <c r="V124" s="372"/>
      <c r="AG124" s="372"/>
      <c r="AO124" s="372"/>
      <c r="AX124" s="381"/>
      <c r="BH124" s="381"/>
      <c r="BQ124" s="372"/>
      <c r="BZ124" s="372"/>
      <c r="CZ124" s="381"/>
      <c r="DI124" s="372"/>
      <c r="DQ124" s="372"/>
    </row>
    <row r="125" spans="13:121" x14ac:dyDescent="0.15">
      <c r="M125" s="372"/>
      <c r="V125" s="372"/>
      <c r="AG125" s="372"/>
      <c r="AO125" s="372"/>
      <c r="AX125" s="381"/>
      <c r="BH125" s="381"/>
      <c r="BQ125" s="372"/>
      <c r="BZ125" s="372"/>
      <c r="CZ125" s="381"/>
      <c r="DI125" s="372"/>
      <c r="DQ125" s="372"/>
    </row>
    <row r="126" spans="13:121" x14ac:dyDescent="0.15">
      <c r="M126" s="372"/>
      <c r="V126" s="372"/>
      <c r="AG126" s="372"/>
      <c r="AO126" s="372"/>
      <c r="AX126" s="381"/>
      <c r="BH126" s="381"/>
      <c r="BQ126" s="372"/>
      <c r="BZ126" s="372"/>
      <c r="CZ126" s="381"/>
      <c r="DI126" s="372"/>
      <c r="DQ126" s="372"/>
    </row>
    <row r="127" spans="13:121" x14ac:dyDescent="0.15">
      <c r="M127" s="372"/>
      <c r="V127" s="372"/>
      <c r="AG127" s="372"/>
      <c r="AO127" s="372"/>
      <c r="AX127" s="381"/>
      <c r="BH127" s="381"/>
      <c r="BQ127" s="372"/>
      <c r="BZ127" s="372"/>
      <c r="CZ127" s="381"/>
      <c r="DI127" s="372"/>
      <c r="DQ127" s="372"/>
    </row>
    <row r="128" spans="13:121" x14ac:dyDescent="0.15">
      <c r="M128" s="372"/>
      <c r="V128" s="372"/>
      <c r="AG128" s="372"/>
      <c r="AO128" s="372"/>
      <c r="AX128" s="381"/>
      <c r="BH128" s="381"/>
      <c r="BQ128" s="372"/>
      <c r="BZ128" s="372"/>
      <c r="CZ128" s="381"/>
      <c r="DI128" s="372"/>
      <c r="DQ128" s="372"/>
    </row>
    <row r="129" spans="13:121" x14ac:dyDescent="0.15">
      <c r="M129" s="372"/>
      <c r="V129" s="372"/>
      <c r="AG129" s="372"/>
      <c r="AO129" s="372"/>
      <c r="AX129" s="381"/>
      <c r="BH129" s="381"/>
      <c r="BQ129" s="372"/>
      <c r="BZ129" s="372"/>
      <c r="CZ129" s="381"/>
      <c r="DI129" s="372"/>
      <c r="DQ129" s="372"/>
    </row>
    <row r="130" spans="13:121" x14ac:dyDescent="0.15">
      <c r="M130" s="372"/>
      <c r="V130" s="372"/>
      <c r="AG130" s="372"/>
      <c r="AO130" s="372"/>
      <c r="AX130" s="381"/>
      <c r="BH130" s="381"/>
      <c r="BQ130" s="372"/>
      <c r="BZ130" s="372"/>
      <c r="CZ130" s="381"/>
      <c r="DI130" s="372"/>
      <c r="DQ130" s="372"/>
    </row>
    <row r="131" spans="13:121" x14ac:dyDescent="0.15">
      <c r="M131" s="372"/>
      <c r="V131" s="372"/>
      <c r="AG131" s="372"/>
      <c r="AO131" s="372"/>
      <c r="AX131" s="381"/>
      <c r="BH131" s="381"/>
      <c r="BQ131" s="372"/>
      <c r="BZ131" s="372"/>
      <c r="CZ131" s="381"/>
      <c r="DI131" s="372"/>
      <c r="DQ131" s="372"/>
    </row>
    <row r="132" spans="13:121" x14ac:dyDescent="0.15">
      <c r="M132" s="372"/>
      <c r="V132" s="372"/>
      <c r="AG132" s="372"/>
      <c r="AO132" s="372"/>
      <c r="AX132" s="381"/>
      <c r="BH132" s="381"/>
      <c r="BQ132" s="372"/>
      <c r="BZ132" s="372"/>
      <c r="CZ132" s="381"/>
      <c r="DI132" s="372"/>
      <c r="DQ132" s="372"/>
    </row>
    <row r="133" spans="13:121" x14ac:dyDescent="0.15">
      <c r="M133" s="372"/>
      <c r="V133" s="372"/>
      <c r="AG133" s="372"/>
      <c r="AO133" s="372"/>
      <c r="AX133" s="381"/>
      <c r="BH133" s="381"/>
      <c r="BQ133" s="372"/>
      <c r="BZ133" s="372"/>
      <c r="CZ133" s="381"/>
      <c r="DI133" s="372"/>
      <c r="DQ133" s="372"/>
    </row>
    <row r="134" spans="13:121" x14ac:dyDescent="0.15">
      <c r="M134" s="372"/>
      <c r="V134" s="372"/>
      <c r="AG134" s="372"/>
      <c r="AO134" s="372"/>
      <c r="AX134" s="381"/>
      <c r="BH134" s="381"/>
      <c r="BQ134" s="372"/>
      <c r="BZ134" s="372"/>
      <c r="CZ134" s="381"/>
      <c r="DI134" s="372"/>
      <c r="DQ134" s="372"/>
    </row>
    <row r="135" spans="13:121" x14ac:dyDescent="0.15">
      <c r="M135" s="372"/>
      <c r="V135" s="372"/>
      <c r="AG135" s="372"/>
      <c r="AO135" s="372"/>
      <c r="AX135" s="381"/>
      <c r="BH135" s="381"/>
      <c r="BQ135" s="372"/>
      <c r="BZ135" s="372"/>
      <c r="CZ135" s="381"/>
      <c r="DI135" s="372"/>
      <c r="DQ135" s="372"/>
    </row>
    <row r="136" spans="13:121" x14ac:dyDescent="0.15">
      <c r="M136" s="372"/>
      <c r="V136" s="372"/>
      <c r="AG136" s="372"/>
      <c r="AO136" s="372"/>
      <c r="AX136" s="381"/>
      <c r="BH136" s="381"/>
      <c r="BQ136" s="372"/>
      <c r="BZ136" s="372"/>
      <c r="CZ136" s="381"/>
      <c r="DI136" s="372"/>
      <c r="DQ136" s="372"/>
    </row>
    <row r="137" spans="13:121" x14ac:dyDescent="0.15">
      <c r="M137" s="372"/>
      <c r="V137" s="372"/>
      <c r="AG137" s="372"/>
      <c r="AO137" s="372"/>
      <c r="AX137" s="381"/>
      <c r="BH137" s="381"/>
      <c r="BQ137" s="372"/>
      <c r="BZ137" s="372"/>
      <c r="CZ137" s="381"/>
      <c r="DI137" s="372"/>
      <c r="DQ137" s="372"/>
    </row>
    <row r="138" spans="13:121" x14ac:dyDescent="0.15">
      <c r="M138" s="372"/>
      <c r="V138" s="372"/>
      <c r="AG138" s="372"/>
      <c r="AO138" s="372"/>
      <c r="AX138" s="381"/>
      <c r="BH138" s="381"/>
      <c r="BQ138" s="372"/>
      <c r="BZ138" s="372"/>
      <c r="CZ138" s="381"/>
      <c r="DI138" s="372"/>
      <c r="DQ138" s="372"/>
    </row>
    <row r="139" spans="13:121" x14ac:dyDescent="0.15">
      <c r="M139" s="372"/>
      <c r="V139" s="372"/>
      <c r="AG139" s="372"/>
      <c r="AO139" s="372"/>
      <c r="AX139" s="381"/>
      <c r="BH139" s="381"/>
      <c r="BQ139" s="372"/>
      <c r="BZ139" s="372"/>
      <c r="CZ139" s="381"/>
      <c r="DI139" s="372"/>
      <c r="DQ139" s="372"/>
    </row>
    <row r="140" spans="13:121" x14ac:dyDescent="0.15">
      <c r="M140" s="372"/>
      <c r="V140" s="372"/>
      <c r="AG140" s="372"/>
      <c r="AO140" s="372"/>
      <c r="AX140" s="381"/>
      <c r="BH140" s="381"/>
      <c r="BQ140" s="372"/>
      <c r="BZ140" s="372"/>
      <c r="CZ140" s="381"/>
      <c r="DI140" s="372"/>
      <c r="DQ140" s="372"/>
    </row>
    <row r="141" spans="13:121" x14ac:dyDescent="0.15">
      <c r="M141" s="372"/>
      <c r="V141" s="372"/>
      <c r="AG141" s="372"/>
      <c r="AO141" s="372"/>
      <c r="AX141" s="381"/>
      <c r="BH141" s="381"/>
      <c r="BQ141" s="372"/>
      <c r="BZ141" s="372"/>
      <c r="CZ141" s="381"/>
      <c r="DI141" s="372"/>
      <c r="DQ141" s="372"/>
    </row>
    <row r="142" spans="13:121" x14ac:dyDescent="0.15">
      <c r="M142" s="372"/>
      <c r="V142" s="372"/>
      <c r="AG142" s="372"/>
      <c r="AO142" s="372"/>
      <c r="AX142" s="381"/>
      <c r="BH142" s="381"/>
      <c r="BQ142" s="372"/>
      <c r="BZ142" s="372"/>
      <c r="CZ142" s="381"/>
      <c r="DI142" s="372"/>
      <c r="DQ142" s="372"/>
    </row>
    <row r="143" spans="13:121" x14ac:dyDescent="0.15">
      <c r="M143" s="372"/>
      <c r="V143" s="372"/>
      <c r="AG143" s="372"/>
      <c r="AO143" s="372"/>
      <c r="AX143" s="381"/>
      <c r="BH143" s="381"/>
      <c r="BQ143" s="372"/>
      <c r="BZ143" s="372"/>
      <c r="CZ143" s="381"/>
      <c r="DI143" s="372"/>
      <c r="DQ143" s="372"/>
    </row>
    <row r="144" spans="13:121" x14ac:dyDescent="0.15">
      <c r="M144" s="372"/>
      <c r="V144" s="372"/>
      <c r="AG144" s="372"/>
      <c r="AO144" s="372"/>
      <c r="AX144" s="381"/>
      <c r="BH144" s="381"/>
      <c r="BQ144" s="372"/>
      <c r="BZ144" s="372"/>
      <c r="CZ144" s="381"/>
      <c r="DI144" s="372"/>
      <c r="DQ144" s="372"/>
    </row>
    <row r="145" spans="13:121" x14ac:dyDescent="0.15">
      <c r="M145" s="372"/>
      <c r="V145" s="372"/>
      <c r="AG145" s="372"/>
      <c r="AO145" s="372"/>
      <c r="AX145" s="381"/>
      <c r="BH145" s="381"/>
      <c r="BQ145" s="372"/>
      <c r="BZ145" s="372"/>
      <c r="CZ145" s="381"/>
      <c r="DI145" s="372"/>
      <c r="DQ145" s="372"/>
    </row>
    <row r="146" spans="13:121" x14ac:dyDescent="0.15">
      <c r="M146" s="372"/>
      <c r="V146" s="372"/>
      <c r="AG146" s="372"/>
      <c r="AO146" s="372"/>
      <c r="AX146" s="381"/>
      <c r="BH146" s="381"/>
      <c r="BQ146" s="372"/>
      <c r="BZ146" s="372"/>
      <c r="CZ146" s="381"/>
      <c r="DI146" s="372"/>
      <c r="DQ146" s="372"/>
    </row>
    <row r="147" spans="13:121" x14ac:dyDescent="0.15">
      <c r="M147" s="372"/>
      <c r="V147" s="372"/>
      <c r="AG147" s="372"/>
      <c r="AO147" s="372"/>
      <c r="AX147" s="381"/>
      <c r="BH147" s="381"/>
      <c r="BQ147" s="372"/>
      <c r="BZ147" s="372"/>
      <c r="CZ147" s="381"/>
      <c r="DI147" s="372"/>
      <c r="DQ147" s="372"/>
    </row>
    <row r="148" spans="13:121" x14ac:dyDescent="0.15">
      <c r="M148" s="372"/>
      <c r="V148" s="372"/>
      <c r="AG148" s="372"/>
      <c r="AO148" s="372"/>
      <c r="AX148" s="381"/>
      <c r="BH148" s="381"/>
      <c r="BQ148" s="372"/>
      <c r="BZ148" s="372"/>
      <c r="CZ148" s="381"/>
      <c r="DI148" s="372"/>
      <c r="DQ148" s="372"/>
    </row>
    <row r="149" spans="13:121" x14ac:dyDescent="0.15">
      <c r="M149" s="372"/>
      <c r="V149" s="372"/>
      <c r="AG149" s="372"/>
      <c r="AO149" s="372"/>
      <c r="AX149" s="381"/>
      <c r="BH149" s="381"/>
      <c r="BQ149" s="372"/>
      <c r="BZ149" s="372"/>
      <c r="CZ149" s="381"/>
      <c r="DI149" s="372"/>
      <c r="DQ149" s="372"/>
    </row>
    <row r="150" spans="13:121" x14ac:dyDescent="0.15">
      <c r="M150" s="372"/>
      <c r="V150" s="372"/>
      <c r="AG150" s="372"/>
      <c r="AO150" s="372"/>
      <c r="AX150" s="381"/>
      <c r="BH150" s="381"/>
      <c r="BQ150" s="372"/>
      <c r="BZ150" s="372"/>
      <c r="CZ150" s="381"/>
      <c r="DI150" s="372"/>
      <c r="DQ150" s="372"/>
    </row>
    <row r="151" spans="13:121" x14ac:dyDescent="0.15">
      <c r="M151" s="372"/>
      <c r="V151" s="372"/>
      <c r="AG151" s="372"/>
      <c r="AO151" s="372"/>
      <c r="AX151" s="381"/>
      <c r="BH151" s="381"/>
      <c r="BQ151" s="372"/>
      <c r="BZ151" s="372"/>
      <c r="CZ151" s="381"/>
      <c r="DI151" s="372"/>
      <c r="DQ151" s="372"/>
    </row>
    <row r="152" spans="13:121" x14ac:dyDescent="0.15">
      <c r="M152" s="372"/>
      <c r="V152" s="372"/>
      <c r="AG152" s="372"/>
      <c r="AO152" s="372"/>
      <c r="AX152" s="381"/>
      <c r="BH152" s="381"/>
      <c r="BQ152" s="372"/>
      <c r="BZ152" s="372"/>
      <c r="CZ152" s="381"/>
      <c r="DI152" s="372"/>
      <c r="DQ152" s="372"/>
    </row>
    <row r="153" spans="13:121" x14ac:dyDescent="0.15">
      <c r="M153" s="372"/>
      <c r="V153" s="372"/>
      <c r="AG153" s="372"/>
      <c r="AO153" s="372"/>
      <c r="AX153" s="381"/>
      <c r="BH153" s="381"/>
      <c r="BQ153" s="372"/>
      <c r="BZ153" s="372"/>
      <c r="CZ153" s="381"/>
      <c r="DI153" s="372"/>
      <c r="DQ153" s="372"/>
    </row>
    <row r="154" spans="13:121" x14ac:dyDescent="0.15">
      <c r="M154" s="372"/>
      <c r="V154" s="372"/>
      <c r="AG154" s="372"/>
      <c r="AO154" s="372"/>
      <c r="AX154" s="381"/>
      <c r="BH154" s="381"/>
      <c r="BQ154" s="372"/>
      <c r="BZ154" s="372"/>
      <c r="CZ154" s="381"/>
      <c r="DI154" s="372"/>
      <c r="DQ154" s="372"/>
    </row>
    <row r="155" spans="13:121" x14ac:dyDescent="0.15">
      <c r="M155" s="372"/>
      <c r="V155" s="372"/>
      <c r="AG155" s="372"/>
      <c r="AO155" s="372"/>
      <c r="AX155" s="381"/>
      <c r="BH155" s="381"/>
      <c r="BQ155" s="372"/>
      <c r="BZ155" s="372"/>
      <c r="CZ155" s="381"/>
      <c r="DI155" s="372"/>
      <c r="DQ155" s="372"/>
    </row>
    <row r="156" spans="13:121" x14ac:dyDescent="0.15">
      <c r="M156" s="372"/>
      <c r="V156" s="372"/>
      <c r="AG156" s="372"/>
      <c r="AO156" s="372"/>
      <c r="AX156" s="381"/>
      <c r="BH156" s="381"/>
      <c r="BQ156" s="372"/>
      <c r="BZ156" s="372"/>
      <c r="CZ156" s="381"/>
      <c r="DI156" s="372"/>
      <c r="DQ156" s="372"/>
    </row>
    <row r="157" spans="13:121" x14ac:dyDescent="0.15">
      <c r="M157" s="372"/>
      <c r="V157" s="372"/>
      <c r="AG157" s="372"/>
      <c r="AO157" s="372"/>
      <c r="AX157" s="381"/>
      <c r="BH157" s="381"/>
      <c r="BQ157" s="372"/>
      <c r="BZ157" s="372"/>
      <c r="CZ157" s="381"/>
      <c r="DI157" s="372"/>
      <c r="DQ157" s="372"/>
    </row>
    <row r="158" spans="13:121" x14ac:dyDescent="0.15">
      <c r="M158" s="372"/>
      <c r="V158" s="372"/>
      <c r="AG158" s="372"/>
      <c r="AO158" s="372"/>
      <c r="AX158" s="381"/>
      <c r="BH158" s="381"/>
      <c r="BQ158" s="372"/>
      <c r="BZ158" s="372"/>
      <c r="CZ158" s="381"/>
      <c r="DI158" s="372"/>
      <c r="DQ158" s="372"/>
    </row>
    <row r="159" spans="13:121" x14ac:dyDescent="0.15">
      <c r="M159" s="372"/>
      <c r="V159" s="372"/>
      <c r="AG159" s="372"/>
      <c r="AO159" s="372"/>
      <c r="AX159" s="381"/>
      <c r="BH159" s="381"/>
      <c r="BQ159" s="372"/>
      <c r="BZ159" s="372"/>
      <c r="CZ159" s="381"/>
      <c r="DI159" s="372"/>
      <c r="DQ159" s="372"/>
    </row>
    <row r="160" spans="13:121" x14ac:dyDescent="0.15">
      <c r="M160" s="372"/>
      <c r="V160" s="372"/>
      <c r="AG160" s="372"/>
      <c r="AO160" s="372"/>
      <c r="AX160" s="381"/>
      <c r="BH160" s="381"/>
      <c r="BQ160" s="372"/>
      <c r="BZ160" s="372"/>
      <c r="CZ160" s="381"/>
      <c r="DI160" s="372"/>
      <c r="DQ160" s="372"/>
    </row>
    <row r="161" spans="13:121" x14ac:dyDescent="0.15">
      <c r="M161" s="372"/>
      <c r="V161" s="372"/>
      <c r="AG161" s="372"/>
      <c r="AO161" s="372"/>
      <c r="AX161" s="381"/>
      <c r="BH161" s="381"/>
      <c r="BQ161" s="372"/>
      <c r="BZ161" s="372"/>
      <c r="CZ161" s="381"/>
      <c r="DI161" s="372"/>
      <c r="DQ161" s="372"/>
    </row>
    <row r="162" spans="13:121" x14ac:dyDescent="0.15">
      <c r="M162" s="372"/>
      <c r="V162" s="372"/>
      <c r="AG162" s="372"/>
      <c r="AO162" s="372"/>
      <c r="AX162" s="381"/>
      <c r="BH162" s="381"/>
      <c r="BQ162" s="372"/>
      <c r="BZ162" s="372"/>
      <c r="CZ162" s="381"/>
      <c r="DI162" s="372"/>
      <c r="DQ162" s="372"/>
    </row>
    <row r="163" spans="13:121" x14ac:dyDescent="0.15">
      <c r="M163" s="372"/>
      <c r="V163" s="372"/>
      <c r="AG163" s="372"/>
      <c r="AO163" s="372"/>
      <c r="AX163" s="381"/>
      <c r="BH163" s="381"/>
      <c r="BQ163" s="372"/>
      <c r="BZ163" s="372"/>
      <c r="CZ163" s="381"/>
      <c r="DI163" s="372"/>
      <c r="DQ163" s="372"/>
    </row>
    <row r="164" spans="13:121" x14ac:dyDescent="0.15">
      <c r="M164" s="372"/>
      <c r="V164" s="372"/>
      <c r="AG164" s="372"/>
      <c r="AO164" s="372"/>
      <c r="AX164" s="381"/>
      <c r="BH164" s="381"/>
      <c r="BQ164" s="372"/>
      <c r="BZ164" s="372"/>
      <c r="CZ164" s="381"/>
      <c r="DI164" s="372"/>
      <c r="DQ164" s="372"/>
    </row>
    <row r="165" spans="13:121" x14ac:dyDescent="0.15">
      <c r="M165" s="372"/>
      <c r="V165" s="372"/>
      <c r="AG165" s="372"/>
      <c r="AO165" s="372"/>
      <c r="AX165" s="381"/>
      <c r="BH165" s="381"/>
      <c r="BQ165" s="372"/>
      <c r="BZ165" s="372"/>
      <c r="CZ165" s="381"/>
      <c r="DI165" s="372"/>
      <c r="DQ165" s="372"/>
    </row>
    <row r="166" spans="13:121" x14ac:dyDescent="0.15">
      <c r="M166" s="372"/>
      <c r="V166" s="372"/>
      <c r="AG166" s="372"/>
      <c r="AO166" s="372"/>
      <c r="AX166" s="381"/>
      <c r="BH166" s="381"/>
      <c r="BQ166" s="372"/>
      <c r="BZ166" s="372"/>
      <c r="CZ166" s="381"/>
      <c r="DI166" s="372"/>
      <c r="DQ166" s="372"/>
    </row>
    <row r="167" spans="13:121" x14ac:dyDescent="0.15">
      <c r="M167" s="372"/>
      <c r="V167" s="372"/>
      <c r="AG167" s="372"/>
      <c r="AO167" s="372"/>
      <c r="AX167" s="381"/>
      <c r="BH167" s="381"/>
      <c r="BQ167" s="372"/>
      <c r="BZ167" s="372"/>
      <c r="CZ167" s="381"/>
      <c r="DI167" s="372"/>
      <c r="DQ167" s="372"/>
    </row>
    <row r="168" spans="13:121" x14ac:dyDescent="0.15">
      <c r="M168" s="372"/>
      <c r="V168" s="372"/>
      <c r="AG168" s="372"/>
      <c r="AO168" s="372"/>
      <c r="AX168" s="381"/>
      <c r="BH168" s="381"/>
      <c r="BQ168" s="372"/>
      <c r="BZ168" s="372"/>
      <c r="CZ168" s="381"/>
      <c r="DI168" s="372"/>
      <c r="DQ168" s="372"/>
    </row>
    <row r="169" spans="13:121" x14ac:dyDescent="0.15">
      <c r="M169" s="372"/>
      <c r="V169" s="372"/>
      <c r="AG169" s="372"/>
      <c r="AO169" s="372"/>
      <c r="AX169" s="381"/>
      <c r="BH169" s="381"/>
      <c r="BQ169" s="372"/>
      <c r="BZ169" s="372"/>
      <c r="CZ169" s="381"/>
      <c r="DI169" s="372"/>
      <c r="DQ169" s="372"/>
    </row>
    <row r="170" spans="13:121" x14ac:dyDescent="0.15">
      <c r="M170" s="372"/>
      <c r="V170" s="372"/>
      <c r="AG170" s="372"/>
      <c r="AO170" s="372"/>
      <c r="AX170" s="381"/>
      <c r="BH170" s="381"/>
      <c r="BQ170" s="372"/>
      <c r="BZ170" s="372"/>
      <c r="CZ170" s="381"/>
      <c r="DI170" s="372"/>
      <c r="DQ170" s="372"/>
    </row>
    <row r="171" spans="13:121" x14ac:dyDescent="0.15">
      <c r="M171" s="372"/>
      <c r="V171" s="372"/>
      <c r="AG171" s="372"/>
      <c r="AO171" s="372"/>
      <c r="AX171" s="381"/>
      <c r="BH171" s="381"/>
      <c r="BQ171" s="372"/>
      <c r="BZ171" s="372"/>
      <c r="CZ171" s="381"/>
      <c r="DI171" s="372"/>
      <c r="DQ171" s="372"/>
    </row>
    <row r="172" spans="13:121" x14ac:dyDescent="0.15">
      <c r="M172" s="372"/>
      <c r="V172" s="372"/>
      <c r="AG172" s="372"/>
      <c r="AO172" s="372"/>
      <c r="AX172" s="381"/>
      <c r="BH172" s="381"/>
      <c r="BQ172" s="372"/>
      <c r="BZ172" s="372"/>
      <c r="CZ172" s="381"/>
      <c r="DI172" s="372"/>
      <c r="DQ172" s="372"/>
    </row>
    <row r="173" spans="13:121" x14ac:dyDescent="0.15">
      <c r="M173" s="372"/>
      <c r="V173" s="372"/>
      <c r="AG173" s="372"/>
      <c r="AO173" s="372"/>
      <c r="AX173" s="381"/>
      <c r="BH173" s="381"/>
      <c r="BQ173" s="372"/>
      <c r="BZ173" s="372"/>
      <c r="CZ173" s="381"/>
      <c r="DI173" s="372"/>
      <c r="DQ173" s="372"/>
    </row>
    <row r="174" spans="13:121" x14ac:dyDescent="0.15">
      <c r="M174" s="372"/>
      <c r="V174" s="372"/>
      <c r="AG174" s="372"/>
      <c r="AO174" s="372"/>
      <c r="AX174" s="381"/>
      <c r="BH174" s="381"/>
      <c r="BQ174" s="372"/>
      <c r="BZ174" s="372"/>
      <c r="CZ174" s="381"/>
      <c r="DI174" s="372"/>
      <c r="DQ174" s="372"/>
    </row>
    <row r="175" spans="13:121" x14ac:dyDescent="0.15">
      <c r="M175" s="372"/>
      <c r="V175" s="372"/>
      <c r="AG175" s="372"/>
      <c r="AO175" s="372"/>
      <c r="AX175" s="381"/>
      <c r="BH175" s="381"/>
      <c r="BQ175" s="372"/>
      <c r="BZ175" s="372"/>
      <c r="CZ175" s="381"/>
      <c r="DI175" s="372"/>
      <c r="DQ175" s="372"/>
    </row>
    <row r="176" spans="13:121" x14ac:dyDescent="0.15">
      <c r="M176" s="372"/>
      <c r="V176" s="372"/>
      <c r="AG176" s="372"/>
      <c r="AO176" s="372"/>
      <c r="AX176" s="381"/>
      <c r="BH176" s="381"/>
      <c r="BQ176" s="372"/>
      <c r="BZ176" s="372"/>
      <c r="CZ176" s="381"/>
      <c r="DI176" s="372"/>
      <c r="DQ176" s="372"/>
    </row>
    <row r="177" spans="13:121" x14ac:dyDescent="0.15">
      <c r="M177" s="372"/>
      <c r="V177" s="372"/>
      <c r="AG177" s="372"/>
      <c r="AO177" s="372"/>
      <c r="AX177" s="381"/>
      <c r="BH177" s="381"/>
      <c r="BQ177" s="372"/>
      <c r="BZ177" s="372"/>
      <c r="CZ177" s="381"/>
      <c r="DI177" s="372"/>
      <c r="DQ177" s="372"/>
    </row>
    <row r="178" spans="13:121" x14ac:dyDescent="0.15">
      <c r="M178" s="372"/>
      <c r="V178" s="372"/>
      <c r="AG178" s="372"/>
      <c r="AO178" s="372"/>
      <c r="AX178" s="381"/>
      <c r="BH178" s="381"/>
      <c r="BQ178" s="372"/>
      <c r="BZ178" s="372"/>
      <c r="CZ178" s="381"/>
      <c r="DI178" s="372"/>
      <c r="DQ178" s="372"/>
    </row>
    <row r="179" spans="13:121" x14ac:dyDescent="0.15">
      <c r="M179" s="372"/>
      <c r="V179" s="372"/>
      <c r="AG179" s="372"/>
      <c r="AO179" s="372"/>
      <c r="AX179" s="381"/>
      <c r="BH179" s="381"/>
      <c r="BQ179" s="372"/>
      <c r="BZ179" s="372"/>
      <c r="CZ179" s="381"/>
      <c r="DI179" s="372"/>
      <c r="DQ179" s="372"/>
    </row>
    <row r="180" spans="13:121" x14ac:dyDescent="0.15">
      <c r="M180" s="372"/>
      <c r="V180" s="372"/>
      <c r="AG180" s="372"/>
      <c r="AO180" s="372"/>
      <c r="AX180" s="381"/>
      <c r="BH180" s="381"/>
      <c r="BQ180" s="372"/>
      <c r="BZ180" s="372"/>
      <c r="CZ180" s="381"/>
      <c r="DI180" s="372"/>
      <c r="DQ180" s="372"/>
    </row>
    <row r="181" spans="13:121" x14ac:dyDescent="0.15">
      <c r="M181" s="372"/>
      <c r="V181" s="372"/>
      <c r="AG181" s="372"/>
      <c r="AO181" s="372"/>
      <c r="AX181" s="381"/>
      <c r="BH181" s="381"/>
      <c r="BQ181" s="372"/>
      <c r="BZ181" s="372"/>
      <c r="CZ181" s="381"/>
      <c r="DI181" s="372"/>
      <c r="DQ181" s="372"/>
    </row>
    <row r="182" spans="13:121" x14ac:dyDescent="0.15">
      <c r="M182" s="372"/>
      <c r="V182" s="372"/>
      <c r="AG182" s="372"/>
      <c r="AO182" s="372"/>
      <c r="AX182" s="381"/>
      <c r="BH182" s="381"/>
      <c r="BQ182" s="372"/>
      <c r="BZ182" s="372"/>
      <c r="CZ182" s="381"/>
      <c r="DI182" s="372"/>
      <c r="DQ182" s="372"/>
    </row>
    <row r="183" spans="13:121" x14ac:dyDescent="0.15">
      <c r="M183" s="372"/>
      <c r="V183" s="372"/>
      <c r="AG183" s="372"/>
      <c r="AO183" s="372"/>
      <c r="AX183" s="381"/>
      <c r="BH183" s="381"/>
      <c r="BQ183" s="372"/>
      <c r="BZ183" s="372"/>
      <c r="CZ183" s="381"/>
      <c r="DI183" s="372"/>
      <c r="DQ183" s="372"/>
    </row>
    <row r="184" spans="13:121" x14ac:dyDescent="0.15">
      <c r="M184" s="372"/>
      <c r="V184" s="372"/>
      <c r="AG184" s="372"/>
      <c r="AO184" s="372"/>
      <c r="AX184" s="381"/>
      <c r="BH184" s="381"/>
      <c r="BQ184" s="372"/>
      <c r="BZ184" s="372"/>
      <c r="CZ184" s="381"/>
      <c r="DI184" s="372"/>
      <c r="DQ184" s="372"/>
    </row>
    <row r="185" spans="13:121" x14ac:dyDescent="0.15">
      <c r="M185" s="372"/>
      <c r="V185" s="372"/>
      <c r="AG185" s="372"/>
      <c r="AO185" s="372"/>
      <c r="AX185" s="381"/>
      <c r="BH185" s="381"/>
      <c r="BQ185" s="372"/>
      <c r="BZ185" s="372"/>
      <c r="CZ185" s="381"/>
      <c r="DI185" s="372"/>
      <c r="DQ185" s="372"/>
    </row>
    <row r="186" spans="13:121" x14ac:dyDescent="0.15">
      <c r="M186" s="372"/>
      <c r="V186" s="372"/>
      <c r="AG186" s="372"/>
      <c r="AO186" s="372"/>
      <c r="AX186" s="381"/>
      <c r="BH186" s="381"/>
      <c r="BQ186" s="372"/>
      <c r="BZ186" s="372"/>
      <c r="CZ186" s="381"/>
      <c r="DI186" s="372"/>
      <c r="DQ186" s="372"/>
    </row>
    <row r="187" spans="13:121" x14ac:dyDescent="0.15">
      <c r="M187" s="372"/>
      <c r="V187" s="372"/>
      <c r="AG187" s="372"/>
      <c r="AO187" s="372"/>
      <c r="AX187" s="381"/>
      <c r="BH187" s="381"/>
      <c r="BQ187" s="372"/>
      <c r="BZ187" s="372"/>
      <c r="CZ187" s="381"/>
      <c r="DI187" s="372"/>
      <c r="DQ187" s="372"/>
    </row>
    <row r="188" spans="13:121" x14ac:dyDescent="0.15">
      <c r="M188" s="372"/>
      <c r="V188" s="372"/>
      <c r="AG188" s="372"/>
      <c r="AO188" s="372"/>
      <c r="AX188" s="381"/>
      <c r="BH188" s="381"/>
      <c r="BQ188" s="372"/>
      <c r="BZ188" s="372"/>
      <c r="CZ188" s="381"/>
      <c r="DI188" s="372"/>
      <c r="DQ188" s="372"/>
    </row>
    <row r="189" spans="13:121" x14ac:dyDescent="0.15">
      <c r="M189" s="372"/>
      <c r="V189" s="372"/>
      <c r="AG189" s="372"/>
      <c r="AO189" s="372"/>
      <c r="AX189" s="381"/>
      <c r="BH189" s="381"/>
      <c r="BQ189" s="372"/>
      <c r="BZ189" s="372"/>
      <c r="CZ189" s="381"/>
      <c r="DI189" s="372"/>
      <c r="DQ189" s="372"/>
    </row>
    <row r="190" spans="13:121" x14ac:dyDescent="0.15">
      <c r="M190" s="372"/>
      <c r="V190" s="372"/>
      <c r="AG190" s="372"/>
      <c r="AO190" s="372"/>
      <c r="AX190" s="381"/>
      <c r="BH190" s="381"/>
      <c r="BQ190" s="372"/>
      <c r="BZ190" s="372"/>
      <c r="CZ190" s="381"/>
      <c r="DI190" s="372"/>
      <c r="DQ190" s="372"/>
    </row>
    <row r="191" spans="13:121" x14ac:dyDescent="0.15">
      <c r="M191" s="372"/>
      <c r="V191" s="372"/>
      <c r="AG191" s="372"/>
      <c r="AO191" s="372"/>
      <c r="AX191" s="381"/>
      <c r="BH191" s="381"/>
      <c r="BQ191" s="372"/>
      <c r="BZ191" s="372"/>
      <c r="CZ191" s="381"/>
      <c r="DI191" s="372"/>
      <c r="DQ191" s="372"/>
    </row>
    <row r="192" spans="13:121" x14ac:dyDescent="0.15">
      <c r="M192" s="372"/>
      <c r="V192" s="372"/>
      <c r="AG192" s="372"/>
      <c r="AO192" s="372"/>
      <c r="AX192" s="381"/>
      <c r="BH192" s="381"/>
      <c r="BQ192" s="372"/>
      <c r="BZ192" s="372"/>
      <c r="CZ192" s="381"/>
      <c r="DI192" s="372"/>
      <c r="DQ192" s="372"/>
    </row>
    <row r="193" spans="13:121" x14ac:dyDescent="0.15">
      <c r="M193" s="372"/>
      <c r="V193" s="372"/>
      <c r="AG193" s="372"/>
      <c r="AO193" s="372"/>
      <c r="AX193" s="381"/>
      <c r="BH193" s="381"/>
      <c r="BQ193" s="372"/>
      <c r="BZ193" s="372"/>
      <c r="CZ193" s="381"/>
      <c r="DI193" s="372"/>
      <c r="DQ193" s="372"/>
    </row>
    <row r="194" spans="13:121" x14ac:dyDescent="0.15">
      <c r="M194" s="372"/>
      <c r="V194" s="372"/>
      <c r="AG194" s="372"/>
      <c r="AO194" s="372"/>
      <c r="AX194" s="381"/>
      <c r="BH194" s="381"/>
      <c r="BQ194" s="372"/>
      <c r="BZ194" s="372"/>
      <c r="CZ194" s="381"/>
      <c r="DI194" s="372"/>
      <c r="DQ194" s="372"/>
    </row>
    <row r="195" spans="13:121" x14ac:dyDescent="0.15">
      <c r="M195" s="372"/>
      <c r="V195" s="372"/>
      <c r="AG195" s="372"/>
      <c r="AO195" s="372"/>
      <c r="AX195" s="381"/>
      <c r="BH195" s="381"/>
      <c r="BQ195" s="372"/>
      <c r="BZ195" s="372"/>
      <c r="CZ195" s="381"/>
      <c r="DI195" s="372"/>
      <c r="DQ195" s="372"/>
    </row>
    <row r="196" spans="13:121" x14ac:dyDescent="0.15">
      <c r="M196" s="372"/>
      <c r="V196" s="372"/>
      <c r="AG196" s="372"/>
      <c r="AO196" s="372"/>
      <c r="AX196" s="381"/>
      <c r="BH196" s="381"/>
      <c r="BQ196" s="372"/>
      <c r="BZ196" s="372"/>
      <c r="CZ196" s="381"/>
      <c r="DI196" s="372"/>
      <c r="DQ196" s="372"/>
    </row>
    <row r="197" spans="13:121" x14ac:dyDescent="0.15">
      <c r="M197" s="372"/>
      <c r="V197" s="372"/>
      <c r="AG197" s="372"/>
      <c r="AO197" s="372"/>
      <c r="AX197" s="381"/>
      <c r="BH197" s="381"/>
      <c r="BQ197" s="372"/>
      <c r="BZ197" s="372"/>
      <c r="CZ197" s="381"/>
      <c r="DI197" s="372"/>
      <c r="DQ197" s="372"/>
    </row>
    <row r="198" spans="13:121" x14ac:dyDescent="0.15">
      <c r="M198" s="372"/>
      <c r="V198" s="372"/>
      <c r="AG198" s="372"/>
      <c r="AO198" s="372"/>
      <c r="AX198" s="381"/>
      <c r="BH198" s="381"/>
      <c r="BQ198" s="372"/>
      <c r="BZ198" s="372"/>
      <c r="CZ198" s="381"/>
      <c r="DI198" s="372"/>
      <c r="DQ198" s="372"/>
    </row>
    <row r="199" spans="13:121" x14ac:dyDescent="0.15">
      <c r="M199" s="372"/>
      <c r="V199" s="372"/>
      <c r="AG199" s="372"/>
      <c r="AO199" s="372"/>
      <c r="AX199" s="381"/>
      <c r="BH199" s="381"/>
      <c r="BQ199" s="372"/>
      <c r="BZ199" s="372"/>
      <c r="CZ199" s="381"/>
      <c r="DI199" s="372"/>
      <c r="DQ199" s="372"/>
    </row>
    <row r="200" spans="13:121" x14ac:dyDescent="0.15">
      <c r="M200" s="372"/>
      <c r="V200" s="372"/>
      <c r="AG200" s="372"/>
      <c r="AO200" s="372"/>
      <c r="AX200" s="381"/>
      <c r="BH200" s="381"/>
      <c r="BQ200" s="372"/>
      <c r="BZ200" s="372"/>
      <c r="CZ200" s="381"/>
      <c r="DI200" s="372"/>
      <c r="DQ200" s="372"/>
    </row>
    <row r="201" spans="13:121" x14ac:dyDescent="0.15">
      <c r="M201" s="372"/>
      <c r="V201" s="372"/>
      <c r="AG201" s="372"/>
      <c r="AO201" s="372"/>
      <c r="AX201" s="381"/>
      <c r="BH201" s="381"/>
      <c r="BQ201" s="372"/>
      <c r="BZ201" s="372"/>
      <c r="CZ201" s="381"/>
      <c r="DI201" s="372"/>
      <c r="DQ201" s="372"/>
    </row>
    <row r="202" spans="13:121" x14ac:dyDescent="0.15">
      <c r="M202" s="372"/>
      <c r="V202" s="372"/>
      <c r="AG202" s="372"/>
      <c r="AO202" s="372"/>
      <c r="AX202" s="381"/>
      <c r="BH202" s="381"/>
      <c r="BQ202" s="372"/>
      <c r="BZ202" s="372"/>
      <c r="CZ202" s="381"/>
      <c r="DI202" s="372"/>
      <c r="DQ202" s="372"/>
    </row>
    <row r="203" spans="13:121" x14ac:dyDescent="0.15">
      <c r="M203" s="372"/>
      <c r="V203" s="372"/>
      <c r="AG203" s="372"/>
      <c r="AO203" s="372"/>
      <c r="AX203" s="381"/>
      <c r="BH203" s="381"/>
      <c r="BQ203" s="372"/>
      <c r="BZ203" s="372"/>
      <c r="CZ203" s="381"/>
      <c r="DI203" s="372"/>
      <c r="DQ203" s="372"/>
    </row>
    <row r="204" spans="13:121" x14ac:dyDescent="0.15">
      <c r="M204" s="372"/>
      <c r="V204" s="372"/>
      <c r="AG204" s="372"/>
      <c r="AO204" s="372"/>
      <c r="AX204" s="381"/>
      <c r="BH204" s="381"/>
      <c r="BQ204" s="372"/>
      <c r="BZ204" s="372"/>
      <c r="CZ204" s="381"/>
      <c r="DI204" s="372"/>
      <c r="DQ204" s="372"/>
    </row>
    <row r="205" spans="13:121" x14ac:dyDescent="0.15">
      <c r="M205" s="372"/>
      <c r="V205" s="372"/>
      <c r="AG205" s="372"/>
      <c r="AO205" s="372"/>
      <c r="AX205" s="381"/>
      <c r="BH205" s="381"/>
      <c r="BQ205" s="372"/>
      <c r="BZ205" s="372"/>
      <c r="CZ205" s="381"/>
      <c r="DI205" s="372"/>
      <c r="DQ205" s="372"/>
    </row>
    <row r="206" spans="13:121" x14ac:dyDescent="0.15">
      <c r="M206" s="372"/>
      <c r="V206" s="372"/>
      <c r="AG206" s="372"/>
      <c r="AO206" s="372"/>
      <c r="AX206" s="381"/>
      <c r="BH206" s="381"/>
      <c r="BQ206" s="372"/>
      <c r="BZ206" s="372"/>
      <c r="CZ206" s="381"/>
      <c r="DI206" s="372"/>
      <c r="DQ206" s="372"/>
    </row>
    <row r="207" spans="13:121" x14ac:dyDescent="0.15">
      <c r="M207" s="372"/>
      <c r="V207" s="372"/>
      <c r="AG207" s="372"/>
      <c r="AO207" s="372"/>
      <c r="AX207" s="381"/>
      <c r="BH207" s="381"/>
      <c r="BQ207" s="372"/>
      <c r="BZ207" s="372"/>
      <c r="CZ207" s="381"/>
      <c r="DI207" s="372"/>
      <c r="DQ207" s="372"/>
    </row>
    <row r="208" spans="13:121" x14ac:dyDescent="0.15">
      <c r="M208" s="372"/>
      <c r="V208" s="372"/>
      <c r="AG208" s="372"/>
      <c r="AO208" s="372"/>
      <c r="AX208" s="381"/>
      <c r="BH208" s="381"/>
      <c r="BQ208" s="372"/>
      <c r="BZ208" s="372"/>
      <c r="CZ208" s="381"/>
      <c r="DI208" s="372"/>
      <c r="DQ208" s="372"/>
    </row>
    <row r="209" spans="13:121" x14ac:dyDescent="0.15">
      <c r="M209" s="372"/>
      <c r="V209" s="372"/>
      <c r="AG209" s="372"/>
      <c r="AO209" s="372"/>
      <c r="AX209" s="381"/>
      <c r="BH209" s="381"/>
      <c r="BQ209" s="372"/>
      <c r="BZ209" s="372"/>
      <c r="CZ209" s="381"/>
      <c r="DI209" s="372"/>
      <c r="DQ209" s="372"/>
    </row>
    <row r="210" spans="13:121" x14ac:dyDescent="0.15">
      <c r="M210" s="372"/>
      <c r="V210" s="372"/>
      <c r="AG210" s="372"/>
      <c r="AO210" s="372"/>
      <c r="AX210" s="381"/>
      <c r="BH210" s="381"/>
      <c r="BQ210" s="372"/>
      <c r="BZ210" s="372"/>
      <c r="CZ210" s="381"/>
      <c r="DI210" s="372"/>
      <c r="DQ210" s="372"/>
    </row>
    <row r="211" spans="13:121" x14ac:dyDescent="0.15">
      <c r="M211" s="372"/>
      <c r="V211" s="372"/>
      <c r="AG211" s="372"/>
      <c r="AO211" s="372"/>
      <c r="AX211" s="381"/>
      <c r="BH211" s="381"/>
      <c r="BQ211" s="372"/>
      <c r="BZ211" s="372"/>
      <c r="CZ211" s="381"/>
      <c r="DI211" s="372"/>
      <c r="DQ211" s="372"/>
    </row>
    <row r="212" spans="13:121" x14ac:dyDescent="0.15">
      <c r="M212" s="372"/>
      <c r="V212" s="372"/>
      <c r="AG212" s="372"/>
      <c r="AO212" s="372"/>
      <c r="AX212" s="381"/>
      <c r="BH212" s="381"/>
      <c r="BQ212" s="372"/>
      <c r="BZ212" s="372"/>
      <c r="CZ212" s="381"/>
      <c r="DI212" s="372"/>
      <c r="DQ212" s="372"/>
    </row>
    <row r="213" spans="13:121" x14ac:dyDescent="0.15">
      <c r="M213" s="372"/>
      <c r="V213" s="372"/>
      <c r="AG213" s="372"/>
      <c r="AO213" s="372"/>
      <c r="AX213" s="381"/>
      <c r="BH213" s="381"/>
      <c r="BQ213" s="372"/>
      <c r="BZ213" s="372"/>
      <c r="CZ213" s="381"/>
      <c r="DI213" s="372"/>
      <c r="DQ213" s="372"/>
    </row>
    <row r="214" spans="13:121" x14ac:dyDescent="0.15">
      <c r="M214" s="372"/>
      <c r="V214" s="372"/>
      <c r="AG214" s="372"/>
      <c r="AO214" s="372"/>
      <c r="AX214" s="381"/>
      <c r="BH214" s="381"/>
      <c r="BQ214" s="372"/>
      <c r="BZ214" s="372"/>
      <c r="CZ214" s="381"/>
      <c r="DI214" s="372"/>
      <c r="DQ214" s="372"/>
    </row>
    <row r="215" spans="13:121" x14ac:dyDescent="0.15">
      <c r="M215" s="372"/>
      <c r="V215" s="372"/>
      <c r="AG215" s="372"/>
      <c r="AO215" s="372"/>
      <c r="AX215" s="381"/>
      <c r="BH215" s="381"/>
      <c r="BQ215" s="372"/>
      <c r="BZ215" s="372"/>
      <c r="CZ215" s="381"/>
      <c r="DI215" s="372"/>
      <c r="DQ215" s="372"/>
    </row>
    <row r="216" spans="13:121" x14ac:dyDescent="0.15">
      <c r="M216" s="372"/>
      <c r="V216" s="372"/>
      <c r="AG216" s="372"/>
      <c r="AO216" s="372"/>
      <c r="AX216" s="381"/>
      <c r="BH216" s="381"/>
      <c r="BQ216" s="372"/>
      <c r="BZ216" s="372"/>
      <c r="CZ216" s="381"/>
      <c r="DI216" s="372"/>
      <c r="DQ216" s="372"/>
    </row>
    <row r="217" spans="13:121" x14ac:dyDescent="0.15">
      <c r="M217" s="372"/>
      <c r="V217" s="372"/>
      <c r="AG217" s="372"/>
      <c r="AO217" s="372"/>
      <c r="AX217" s="381"/>
      <c r="BH217" s="381"/>
      <c r="BQ217" s="372"/>
      <c r="BZ217" s="372"/>
      <c r="CZ217" s="381"/>
      <c r="DI217" s="372"/>
      <c r="DQ217" s="372"/>
    </row>
    <row r="218" spans="13:121" x14ac:dyDescent="0.15">
      <c r="M218" s="372"/>
      <c r="V218" s="372"/>
      <c r="AG218" s="372"/>
      <c r="AO218" s="372"/>
      <c r="AX218" s="381"/>
      <c r="BH218" s="381"/>
      <c r="BQ218" s="372"/>
      <c r="BZ218" s="372"/>
      <c r="CZ218" s="381"/>
      <c r="DI218" s="372"/>
      <c r="DQ218" s="372"/>
    </row>
    <row r="219" spans="13:121" x14ac:dyDescent="0.15">
      <c r="M219" s="372"/>
      <c r="V219" s="372"/>
      <c r="AG219" s="372"/>
      <c r="AO219" s="372"/>
      <c r="AX219" s="381"/>
      <c r="BH219" s="381"/>
      <c r="BQ219" s="372"/>
      <c r="BZ219" s="372"/>
      <c r="CZ219" s="381"/>
      <c r="DI219" s="372"/>
      <c r="DQ219" s="372"/>
    </row>
    <row r="220" spans="13:121" x14ac:dyDescent="0.15">
      <c r="M220" s="372"/>
      <c r="V220" s="372"/>
      <c r="AG220" s="372"/>
      <c r="AO220" s="372"/>
      <c r="AX220" s="381"/>
      <c r="BH220" s="381"/>
      <c r="BQ220" s="372"/>
      <c r="BZ220" s="372"/>
      <c r="CZ220" s="381"/>
      <c r="DI220" s="372"/>
      <c r="DQ220" s="372"/>
    </row>
    <row r="221" spans="13:121" x14ac:dyDescent="0.15">
      <c r="M221" s="372"/>
      <c r="V221" s="372"/>
      <c r="AG221" s="372"/>
      <c r="AO221" s="372"/>
      <c r="AX221" s="381"/>
      <c r="BH221" s="381"/>
      <c r="BQ221" s="372"/>
      <c r="BZ221" s="372"/>
      <c r="CZ221" s="381"/>
      <c r="DI221" s="372"/>
      <c r="DQ221" s="372"/>
    </row>
    <row r="222" spans="13:121" x14ac:dyDescent="0.15">
      <c r="M222" s="372"/>
      <c r="V222" s="372"/>
      <c r="AG222" s="372"/>
      <c r="AO222" s="372"/>
      <c r="AX222" s="381"/>
      <c r="BH222" s="381"/>
      <c r="BQ222" s="372"/>
      <c r="BZ222" s="372"/>
      <c r="CZ222" s="381"/>
      <c r="DI222" s="372"/>
      <c r="DQ222" s="372"/>
    </row>
    <row r="223" spans="13:121" x14ac:dyDescent="0.15">
      <c r="M223" s="372"/>
      <c r="V223" s="372"/>
      <c r="AG223" s="372"/>
      <c r="AO223" s="372"/>
      <c r="AX223" s="381"/>
      <c r="BH223" s="381"/>
      <c r="BQ223" s="372"/>
      <c r="BZ223" s="372"/>
      <c r="CZ223" s="381"/>
      <c r="DI223" s="372"/>
      <c r="DQ223" s="372"/>
    </row>
    <row r="224" spans="13:121" x14ac:dyDescent="0.15">
      <c r="M224" s="372"/>
      <c r="V224" s="372"/>
      <c r="AG224" s="372"/>
      <c r="AO224" s="372"/>
      <c r="AX224" s="381"/>
      <c r="BH224" s="381"/>
      <c r="BQ224" s="372"/>
      <c r="BZ224" s="372"/>
      <c r="CZ224" s="381"/>
      <c r="DI224" s="372"/>
      <c r="DQ224" s="372"/>
    </row>
    <row r="225" spans="13:121" x14ac:dyDescent="0.15">
      <c r="M225" s="372"/>
      <c r="V225" s="372"/>
      <c r="AG225" s="372"/>
      <c r="AO225" s="372"/>
      <c r="AX225" s="381"/>
      <c r="BH225" s="381"/>
      <c r="BQ225" s="372"/>
      <c r="BZ225" s="372"/>
      <c r="CZ225" s="381"/>
      <c r="DI225" s="372"/>
      <c r="DQ225" s="372"/>
    </row>
    <row r="226" spans="13:121" x14ac:dyDescent="0.15">
      <c r="M226" s="372"/>
      <c r="V226" s="372"/>
      <c r="AG226" s="372"/>
      <c r="AO226" s="372"/>
      <c r="AX226" s="381"/>
      <c r="BH226" s="381"/>
      <c r="BQ226" s="372"/>
      <c r="BZ226" s="372"/>
      <c r="CZ226" s="381"/>
      <c r="DI226" s="372"/>
      <c r="DQ226" s="372"/>
    </row>
    <row r="227" spans="13:121" x14ac:dyDescent="0.15">
      <c r="M227" s="372"/>
      <c r="V227" s="372"/>
      <c r="AG227" s="372"/>
      <c r="AO227" s="372"/>
      <c r="AX227" s="381"/>
      <c r="BH227" s="381"/>
      <c r="BQ227" s="372"/>
      <c r="BZ227" s="372"/>
      <c r="CZ227" s="381"/>
      <c r="DI227" s="372"/>
      <c r="DQ227" s="372"/>
    </row>
    <row r="228" spans="13:121" x14ac:dyDescent="0.15">
      <c r="M228" s="372"/>
      <c r="V228" s="372"/>
      <c r="AG228" s="372"/>
      <c r="AO228" s="372"/>
      <c r="AX228" s="381"/>
      <c r="BH228" s="381"/>
      <c r="BQ228" s="372"/>
      <c r="BZ228" s="372"/>
      <c r="CZ228" s="381"/>
      <c r="DI228" s="372"/>
      <c r="DQ228" s="372"/>
    </row>
    <row r="229" spans="13:121" x14ac:dyDescent="0.15">
      <c r="M229" s="372"/>
      <c r="V229" s="372"/>
      <c r="AG229" s="372"/>
      <c r="AO229" s="372"/>
      <c r="AX229" s="381"/>
      <c r="BH229" s="381"/>
      <c r="BQ229" s="372"/>
      <c r="BZ229" s="372"/>
      <c r="CZ229" s="381"/>
      <c r="DI229" s="372"/>
      <c r="DQ229" s="372"/>
    </row>
    <row r="230" spans="13:121" x14ac:dyDescent="0.15">
      <c r="M230" s="372"/>
      <c r="V230" s="372"/>
      <c r="AG230" s="372"/>
      <c r="AO230" s="372"/>
      <c r="AX230" s="381"/>
      <c r="BH230" s="381"/>
      <c r="BQ230" s="372"/>
      <c r="BZ230" s="372"/>
      <c r="CZ230" s="381"/>
      <c r="DI230" s="372"/>
      <c r="DQ230" s="372"/>
    </row>
    <row r="231" spans="13:121" x14ac:dyDescent="0.15">
      <c r="M231" s="372"/>
      <c r="V231" s="372"/>
      <c r="AG231" s="372"/>
      <c r="AO231" s="372"/>
      <c r="AX231" s="381"/>
      <c r="BH231" s="381"/>
      <c r="BQ231" s="372"/>
      <c r="BZ231" s="372"/>
      <c r="CZ231" s="381"/>
      <c r="DI231" s="372"/>
      <c r="DQ231" s="372"/>
    </row>
    <row r="232" spans="13:121" x14ac:dyDescent="0.15">
      <c r="M232" s="372"/>
      <c r="V232" s="372"/>
      <c r="AG232" s="372"/>
      <c r="AO232" s="372"/>
      <c r="AX232" s="381"/>
      <c r="BH232" s="381"/>
      <c r="BQ232" s="372"/>
      <c r="BZ232" s="372"/>
      <c r="CZ232" s="381"/>
      <c r="DI232" s="372"/>
      <c r="DQ232" s="372"/>
    </row>
    <row r="233" spans="13:121" x14ac:dyDescent="0.15">
      <c r="M233" s="372"/>
      <c r="V233" s="372"/>
      <c r="AG233" s="372"/>
      <c r="AO233" s="372"/>
      <c r="AX233" s="381"/>
      <c r="BH233" s="381"/>
      <c r="BQ233" s="372"/>
      <c r="BZ233" s="372"/>
      <c r="CZ233" s="381"/>
      <c r="DI233" s="372"/>
      <c r="DQ233" s="372"/>
    </row>
    <row r="234" spans="13:121" x14ac:dyDescent="0.15">
      <c r="M234" s="372"/>
      <c r="V234" s="372"/>
      <c r="AG234" s="372"/>
      <c r="AO234" s="372"/>
      <c r="AX234" s="381"/>
      <c r="BH234" s="381"/>
      <c r="BQ234" s="372"/>
      <c r="BZ234" s="372"/>
      <c r="CZ234" s="381"/>
      <c r="DI234" s="372"/>
      <c r="DQ234" s="372"/>
    </row>
    <row r="235" spans="13:121" x14ac:dyDescent="0.15">
      <c r="M235" s="372"/>
      <c r="V235" s="372"/>
      <c r="AG235" s="372"/>
      <c r="AO235" s="372"/>
      <c r="AX235" s="381"/>
      <c r="BH235" s="381"/>
      <c r="BQ235" s="372"/>
      <c r="BZ235" s="372"/>
      <c r="CZ235" s="381"/>
      <c r="DI235" s="372"/>
      <c r="DQ235" s="372"/>
    </row>
    <row r="236" spans="13:121" x14ac:dyDescent="0.15">
      <c r="M236" s="372"/>
      <c r="V236" s="372"/>
      <c r="AG236" s="372"/>
      <c r="AO236" s="372"/>
      <c r="AX236" s="381"/>
      <c r="BH236" s="381"/>
      <c r="BQ236" s="372"/>
      <c r="BZ236" s="372"/>
      <c r="CZ236" s="381"/>
      <c r="DI236" s="372"/>
      <c r="DQ236" s="372"/>
    </row>
    <row r="237" spans="13:121" x14ac:dyDescent="0.15">
      <c r="M237" s="372"/>
      <c r="V237" s="372"/>
      <c r="AG237" s="372"/>
      <c r="AO237" s="372"/>
      <c r="AX237" s="381"/>
      <c r="BH237" s="381"/>
      <c r="BQ237" s="372"/>
      <c r="BZ237" s="372"/>
      <c r="CZ237" s="381"/>
      <c r="DI237" s="372"/>
      <c r="DQ237" s="372"/>
    </row>
    <row r="238" spans="13:121" x14ac:dyDescent="0.15">
      <c r="M238" s="372"/>
      <c r="V238" s="372"/>
      <c r="AG238" s="372"/>
      <c r="AO238" s="372"/>
      <c r="AX238" s="381"/>
      <c r="BH238" s="381"/>
      <c r="BQ238" s="372"/>
      <c r="BZ238" s="372"/>
      <c r="CZ238" s="381"/>
      <c r="DI238" s="372"/>
      <c r="DQ238" s="372"/>
    </row>
    <row r="239" spans="13:121" x14ac:dyDescent="0.15">
      <c r="M239" s="372"/>
      <c r="V239" s="372"/>
      <c r="AG239" s="372"/>
      <c r="AO239" s="372"/>
      <c r="AX239" s="381"/>
      <c r="BH239" s="381"/>
      <c r="BQ239" s="372"/>
      <c r="BZ239" s="372"/>
      <c r="CZ239" s="381"/>
      <c r="DI239" s="372"/>
      <c r="DQ239" s="372"/>
    </row>
    <row r="240" spans="13:121" x14ac:dyDescent="0.15">
      <c r="M240" s="372"/>
      <c r="V240" s="372"/>
      <c r="AG240" s="372"/>
      <c r="AO240" s="372"/>
      <c r="AX240" s="381"/>
      <c r="BH240" s="381"/>
      <c r="BQ240" s="372"/>
      <c r="BZ240" s="372"/>
      <c r="CZ240" s="381"/>
      <c r="DI240" s="372"/>
      <c r="DQ240" s="372"/>
    </row>
    <row r="241" spans="13:121" x14ac:dyDescent="0.15">
      <c r="M241" s="372"/>
      <c r="V241" s="372"/>
      <c r="AG241" s="372"/>
      <c r="AO241" s="372"/>
      <c r="AX241" s="381"/>
      <c r="BH241" s="381"/>
      <c r="BQ241" s="372"/>
      <c r="BZ241" s="372"/>
      <c r="CZ241" s="381"/>
      <c r="DI241" s="372"/>
      <c r="DQ241" s="372"/>
    </row>
    <row r="242" spans="13:121" x14ac:dyDescent="0.15">
      <c r="M242" s="372"/>
      <c r="V242" s="372"/>
      <c r="AG242" s="372"/>
      <c r="AO242" s="372"/>
      <c r="AX242" s="381"/>
      <c r="BH242" s="381"/>
      <c r="BQ242" s="372"/>
      <c r="BZ242" s="372"/>
      <c r="CZ242" s="381"/>
      <c r="DI242" s="372"/>
      <c r="DQ242" s="372"/>
    </row>
    <row r="243" spans="13:121" x14ac:dyDescent="0.15">
      <c r="M243" s="372"/>
      <c r="V243" s="372"/>
      <c r="AG243" s="372"/>
      <c r="AO243" s="372"/>
      <c r="AX243" s="381"/>
      <c r="BH243" s="381"/>
      <c r="BQ243" s="372"/>
      <c r="BZ243" s="372"/>
      <c r="CZ243" s="381"/>
      <c r="DI243" s="372"/>
      <c r="DQ243" s="372"/>
    </row>
    <row r="244" spans="13:121" x14ac:dyDescent="0.15">
      <c r="M244" s="372"/>
      <c r="V244" s="372"/>
      <c r="AG244" s="372"/>
      <c r="AO244" s="372"/>
      <c r="AX244" s="381"/>
      <c r="BH244" s="381"/>
      <c r="BQ244" s="372"/>
      <c r="BZ244" s="372"/>
      <c r="CZ244" s="381"/>
      <c r="DI244" s="372"/>
      <c r="DQ244" s="372"/>
    </row>
    <row r="245" spans="13:121" x14ac:dyDescent="0.15">
      <c r="M245" s="372"/>
      <c r="V245" s="372"/>
      <c r="AG245" s="372"/>
      <c r="AO245" s="372"/>
      <c r="AX245" s="381"/>
      <c r="BH245" s="381"/>
      <c r="BQ245" s="372"/>
      <c r="BZ245" s="372"/>
      <c r="CZ245" s="381"/>
      <c r="DI245" s="372"/>
      <c r="DQ245" s="372"/>
    </row>
    <row r="246" spans="13:121" x14ac:dyDescent="0.15">
      <c r="M246" s="372"/>
      <c r="V246" s="372"/>
      <c r="AG246" s="372"/>
      <c r="AO246" s="372"/>
      <c r="AX246" s="381"/>
      <c r="BH246" s="381"/>
      <c r="BQ246" s="372"/>
      <c r="BZ246" s="372"/>
      <c r="CZ246" s="381"/>
      <c r="DI246" s="372"/>
      <c r="DQ246" s="372"/>
    </row>
    <row r="247" spans="13:121" x14ac:dyDescent="0.15">
      <c r="M247" s="372"/>
      <c r="V247" s="372"/>
      <c r="AG247" s="372"/>
      <c r="AO247" s="372"/>
      <c r="AX247" s="381"/>
      <c r="BH247" s="381"/>
      <c r="BQ247" s="372"/>
      <c r="BZ247" s="372"/>
      <c r="CZ247" s="381"/>
      <c r="DI247" s="372"/>
      <c r="DQ247" s="372"/>
    </row>
    <row r="248" spans="13:121" x14ac:dyDescent="0.15">
      <c r="M248" s="372"/>
      <c r="V248" s="372"/>
      <c r="AG248" s="372"/>
      <c r="AO248" s="372"/>
      <c r="AX248" s="381"/>
      <c r="BH248" s="381"/>
      <c r="BQ248" s="372"/>
      <c r="BZ248" s="372"/>
      <c r="CZ248" s="381"/>
      <c r="DI248" s="372"/>
      <c r="DQ248" s="372"/>
    </row>
    <row r="249" spans="13:121" x14ac:dyDescent="0.15">
      <c r="M249" s="372"/>
      <c r="V249" s="372"/>
      <c r="AG249" s="372"/>
      <c r="AO249" s="372"/>
      <c r="AX249" s="381"/>
      <c r="BH249" s="381"/>
      <c r="BQ249" s="372"/>
      <c r="BZ249" s="372"/>
      <c r="CZ249" s="381"/>
      <c r="DI249" s="372"/>
      <c r="DQ249" s="372"/>
    </row>
    <row r="250" spans="13:121" x14ac:dyDescent="0.15">
      <c r="M250" s="372"/>
      <c r="V250" s="372"/>
      <c r="AG250" s="372"/>
      <c r="AO250" s="372"/>
      <c r="AX250" s="381"/>
      <c r="BH250" s="381"/>
      <c r="BQ250" s="372"/>
      <c r="BZ250" s="372"/>
      <c r="CZ250" s="381"/>
      <c r="DI250" s="372"/>
      <c r="DQ250" s="372"/>
    </row>
    <row r="251" spans="13:121" x14ac:dyDescent="0.15">
      <c r="M251" s="372"/>
      <c r="V251" s="372"/>
      <c r="AG251" s="372"/>
      <c r="AO251" s="372"/>
      <c r="AX251" s="381"/>
      <c r="BH251" s="381"/>
      <c r="BQ251" s="372"/>
      <c r="BZ251" s="372"/>
      <c r="CZ251" s="381"/>
      <c r="DI251" s="372"/>
      <c r="DQ251" s="372"/>
    </row>
    <row r="252" spans="13:121" x14ac:dyDescent="0.15">
      <c r="M252" s="372"/>
      <c r="V252" s="372"/>
      <c r="AG252" s="372"/>
      <c r="AO252" s="372"/>
      <c r="AX252" s="381"/>
      <c r="BH252" s="381"/>
      <c r="BQ252" s="372"/>
      <c r="BZ252" s="372"/>
      <c r="CZ252" s="381"/>
      <c r="DI252" s="372"/>
      <c r="DQ252" s="372"/>
    </row>
    <row r="253" spans="13:121" x14ac:dyDescent="0.15">
      <c r="M253" s="372"/>
      <c r="V253" s="372"/>
      <c r="AG253" s="372"/>
      <c r="AO253" s="372"/>
      <c r="AX253" s="381"/>
      <c r="BH253" s="381"/>
      <c r="BQ253" s="372"/>
      <c r="BZ253" s="372"/>
      <c r="CZ253" s="381"/>
      <c r="DI253" s="372"/>
      <c r="DQ253" s="372"/>
    </row>
    <row r="254" spans="13:121" x14ac:dyDescent="0.15">
      <c r="M254" s="372"/>
      <c r="V254" s="372"/>
      <c r="AG254" s="372"/>
      <c r="AO254" s="372"/>
      <c r="AX254" s="381"/>
      <c r="BH254" s="381"/>
      <c r="BQ254" s="372"/>
      <c r="BZ254" s="372"/>
      <c r="CZ254" s="381"/>
      <c r="DI254" s="372"/>
      <c r="DQ254" s="372"/>
    </row>
    <row r="255" spans="13:121" x14ac:dyDescent="0.15">
      <c r="M255" s="372"/>
      <c r="V255" s="372"/>
      <c r="AG255" s="372"/>
      <c r="AO255" s="372"/>
      <c r="AX255" s="381"/>
      <c r="BH255" s="381"/>
      <c r="BQ255" s="372"/>
      <c r="BZ255" s="372"/>
      <c r="CZ255" s="381"/>
      <c r="DI255" s="372"/>
      <c r="DQ255" s="372"/>
    </row>
    <row r="256" spans="13:121" x14ac:dyDescent="0.15">
      <c r="M256" s="372"/>
      <c r="V256" s="372"/>
      <c r="AG256" s="372"/>
      <c r="AO256" s="372"/>
      <c r="AX256" s="381"/>
      <c r="BH256" s="381"/>
      <c r="BQ256" s="372"/>
      <c r="BZ256" s="372"/>
      <c r="CZ256" s="381"/>
      <c r="DI256" s="372"/>
      <c r="DQ256" s="372"/>
    </row>
    <row r="257" spans="13:121" x14ac:dyDescent="0.15">
      <c r="M257" s="372"/>
      <c r="V257" s="372"/>
      <c r="AG257" s="372"/>
      <c r="AO257" s="372"/>
      <c r="AX257" s="381"/>
      <c r="BH257" s="381"/>
      <c r="BQ257" s="372"/>
      <c r="BZ257" s="372"/>
      <c r="CZ257" s="381"/>
      <c r="DI257" s="372"/>
      <c r="DQ257" s="372"/>
    </row>
    <row r="258" spans="13:121" x14ac:dyDescent="0.15">
      <c r="M258" s="372"/>
      <c r="V258" s="372"/>
      <c r="AG258" s="372"/>
      <c r="AO258" s="372"/>
      <c r="AX258" s="381"/>
      <c r="BH258" s="381"/>
      <c r="BQ258" s="372"/>
      <c r="BZ258" s="372"/>
      <c r="CZ258" s="381"/>
      <c r="DI258" s="372"/>
      <c r="DQ258" s="372"/>
    </row>
    <row r="259" spans="13:121" x14ac:dyDescent="0.15">
      <c r="M259" s="372"/>
      <c r="V259" s="372"/>
      <c r="AG259" s="372"/>
      <c r="AO259" s="372"/>
      <c r="AX259" s="381"/>
      <c r="BH259" s="381"/>
      <c r="BQ259" s="372"/>
      <c r="BZ259" s="372"/>
      <c r="CZ259" s="381"/>
      <c r="DI259" s="372"/>
      <c r="DQ259" s="372"/>
    </row>
    <row r="260" spans="13:121" x14ac:dyDescent="0.15">
      <c r="M260" s="372"/>
      <c r="V260" s="372"/>
      <c r="AG260" s="372"/>
      <c r="AO260" s="372"/>
      <c r="AX260" s="381"/>
      <c r="BH260" s="381"/>
      <c r="BQ260" s="372"/>
      <c r="BZ260" s="372"/>
      <c r="CZ260" s="381"/>
      <c r="DI260" s="372"/>
      <c r="DQ260" s="372"/>
    </row>
    <row r="261" spans="13:121" x14ac:dyDescent="0.15">
      <c r="M261" s="372"/>
      <c r="V261" s="372"/>
      <c r="AG261" s="372"/>
      <c r="AO261" s="372"/>
      <c r="AX261" s="381"/>
      <c r="BH261" s="381"/>
      <c r="BQ261" s="372"/>
      <c r="BZ261" s="372"/>
      <c r="CZ261" s="381"/>
      <c r="DI261" s="372"/>
      <c r="DQ261" s="372"/>
    </row>
    <row r="262" spans="13:121" x14ac:dyDescent="0.15">
      <c r="M262" s="372"/>
      <c r="V262" s="372"/>
      <c r="AG262" s="372"/>
      <c r="AO262" s="372"/>
      <c r="AX262" s="381"/>
      <c r="BH262" s="381"/>
      <c r="BQ262" s="372"/>
      <c r="BZ262" s="372"/>
      <c r="CZ262" s="381"/>
      <c r="DI262" s="372"/>
      <c r="DQ262" s="372"/>
    </row>
    <row r="263" spans="13:121" x14ac:dyDescent="0.15">
      <c r="M263" s="372"/>
      <c r="V263" s="372"/>
      <c r="AG263" s="372"/>
      <c r="AO263" s="372"/>
      <c r="AX263" s="381"/>
      <c r="BH263" s="381"/>
      <c r="BQ263" s="372"/>
      <c r="BZ263" s="372"/>
      <c r="CZ263" s="381"/>
      <c r="DI263" s="372"/>
      <c r="DQ263" s="372"/>
    </row>
    <row r="264" spans="13:121" x14ac:dyDescent="0.15">
      <c r="M264" s="372"/>
      <c r="V264" s="372"/>
      <c r="AG264" s="372"/>
      <c r="AO264" s="372"/>
      <c r="AX264" s="381"/>
      <c r="BH264" s="381"/>
      <c r="BQ264" s="372"/>
      <c r="BZ264" s="372"/>
      <c r="CZ264" s="381"/>
      <c r="DI264" s="372"/>
      <c r="DQ264" s="372"/>
    </row>
    <row r="265" spans="13:121" x14ac:dyDescent="0.15">
      <c r="M265" s="372"/>
      <c r="V265" s="372"/>
      <c r="AG265" s="372"/>
      <c r="AO265" s="372"/>
      <c r="AX265" s="381"/>
      <c r="BH265" s="381"/>
      <c r="BQ265" s="372"/>
      <c r="BZ265" s="372"/>
      <c r="CZ265" s="381"/>
      <c r="DI265" s="372"/>
      <c r="DQ265" s="372"/>
    </row>
    <row r="266" spans="13:121" x14ac:dyDescent="0.15">
      <c r="M266" s="372"/>
      <c r="V266" s="372"/>
      <c r="AG266" s="372"/>
      <c r="AO266" s="372"/>
      <c r="AX266" s="381"/>
      <c r="BH266" s="381"/>
      <c r="BQ266" s="372"/>
      <c r="BZ266" s="372"/>
      <c r="CZ266" s="381"/>
      <c r="DI266" s="372"/>
      <c r="DQ266" s="372"/>
    </row>
    <row r="267" spans="13:121" x14ac:dyDescent="0.15">
      <c r="M267" s="372"/>
      <c r="V267" s="372"/>
      <c r="AG267" s="372"/>
      <c r="AO267" s="372"/>
      <c r="AX267" s="381"/>
      <c r="BH267" s="381"/>
      <c r="BQ267" s="372"/>
      <c r="BZ267" s="372"/>
      <c r="CZ267" s="381"/>
      <c r="DI267" s="372"/>
      <c r="DQ267" s="372"/>
    </row>
    <row r="268" spans="13:121" x14ac:dyDescent="0.15">
      <c r="M268" s="372"/>
      <c r="V268" s="372"/>
      <c r="AG268" s="372"/>
      <c r="AO268" s="372"/>
      <c r="AX268" s="381"/>
      <c r="BH268" s="381"/>
      <c r="BQ268" s="372"/>
      <c r="BZ268" s="372"/>
      <c r="CZ268" s="381"/>
      <c r="DI268" s="372"/>
      <c r="DQ268" s="372"/>
    </row>
    <row r="269" spans="13:121" x14ac:dyDescent="0.15">
      <c r="M269" s="372"/>
      <c r="V269" s="372"/>
      <c r="AG269" s="372"/>
      <c r="AO269" s="372"/>
      <c r="AX269" s="381"/>
      <c r="BH269" s="381"/>
      <c r="BQ269" s="372"/>
      <c r="BZ269" s="372"/>
      <c r="CZ269" s="381"/>
      <c r="DI269" s="372"/>
      <c r="DQ269" s="372"/>
    </row>
    <row r="270" spans="13:121" x14ac:dyDescent="0.15">
      <c r="M270" s="372"/>
      <c r="V270" s="372"/>
      <c r="AG270" s="372"/>
      <c r="AO270" s="372"/>
      <c r="AX270" s="381"/>
      <c r="BH270" s="381"/>
      <c r="BQ270" s="372"/>
      <c r="BZ270" s="372"/>
      <c r="CZ270" s="381"/>
      <c r="DI270" s="372"/>
      <c r="DQ270" s="372"/>
    </row>
    <row r="271" spans="13:121" x14ac:dyDescent="0.15">
      <c r="M271" s="372"/>
      <c r="V271" s="372"/>
      <c r="AG271" s="372"/>
      <c r="AO271" s="372"/>
      <c r="AX271" s="381"/>
      <c r="BH271" s="381"/>
      <c r="BQ271" s="372"/>
      <c r="BZ271" s="372"/>
      <c r="CZ271" s="381"/>
      <c r="DI271" s="372"/>
      <c r="DQ271" s="372"/>
    </row>
    <row r="272" spans="13:121" x14ac:dyDescent="0.15">
      <c r="M272" s="372"/>
      <c r="V272" s="372"/>
      <c r="AG272" s="372"/>
      <c r="AO272" s="372"/>
      <c r="AX272" s="381"/>
      <c r="BH272" s="381"/>
      <c r="BQ272" s="372"/>
      <c r="BZ272" s="372"/>
      <c r="CZ272" s="381"/>
      <c r="DI272" s="372"/>
      <c r="DQ272" s="372"/>
    </row>
    <row r="273" spans="13:121" x14ac:dyDescent="0.15">
      <c r="M273" s="372"/>
      <c r="V273" s="372"/>
      <c r="AG273" s="372"/>
      <c r="AO273" s="372"/>
      <c r="AX273" s="381"/>
      <c r="BH273" s="381"/>
      <c r="BQ273" s="372"/>
      <c r="BZ273" s="372"/>
      <c r="CZ273" s="381"/>
      <c r="DI273" s="372"/>
      <c r="DQ273" s="372"/>
    </row>
    <row r="274" spans="13:121" x14ac:dyDescent="0.15">
      <c r="M274" s="372"/>
      <c r="V274" s="372"/>
      <c r="AG274" s="372"/>
      <c r="AO274" s="372"/>
      <c r="AX274" s="381"/>
      <c r="BH274" s="381"/>
      <c r="BQ274" s="372"/>
      <c r="BZ274" s="372"/>
      <c r="CZ274" s="381"/>
      <c r="DI274" s="372"/>
      <c r="DQ274" s="372"/>
    </row>
    <row r="275" spans="13:121" x14ac:dyDescent="0.15">
      <c r="M275" s="372"/>
      <c r="V275" s="372"/>
      <c r="AG275" s="372"/>
      <c r="AO275" s="372"/>
      <c r="AX275" s="381"/>
      <c r="BH275" s="381"/>
      <c r="BQ275" s="372"/>
      <c r="BZ275" s="372"/>
      <c r="CZ275" s="381"/>
      <c r="DI275" s="372"/>
      <c r="DQ275" s="372"/>
    </row>
    <row r="276" spans="13:121" x14ac:dyDescent="0.15">
      <c r="M276" s="372"/>
      <c r="V276" s="372"/>
      <c r="AG276" s="372"/>
      <c r="AO276" s="372"/>
      <c r="AX276" s="381"/>
      <c r="BH276" s="381"/>
      <c r="BQ276" s="372"/>
      <c r="BZ276" s="372"/>
      <c r="CZ276" s="381"/>
      <c r="DI276" s="372"/>
      <c r="DQ276" s="372"/>
    </row>
    <row r="277" spans="13:121" x14ac:dyDescent="0.15">
      <c r="M277" s="372"/>
      <c r="V277" s="372"/>
      <c r="AG277" s="372"/>
      <c r="AO277" s="372"/>
      <c r="AX277" s="381"/>
      <c r="BH277" s="381"/>
      <c r="BQ277" s="372"/>
      <c r="BZ277" s="372"/>
      <c r="CZ277" s="381"/>
      <c r="DI277" s="372"/>
      <c r="DQ277" s="372"/>
    </row>
    <row r="278" spans="13:121" x14ac:dyDescent="0.15">
      <c r="M278" s="372"/>
      <c r="V278" s="372"/>
      <c r="AG278" s="372"/>
      <c r="AO278" s="372"/>
      <c r="AX278" s="381"/>
      <c r="BH278" s="381"/>
      <c r="BQ278" s="372"/>
      <c r="BZ278" s="372"/>
      <c r="CZ278" s="381"/>
      <c r="DI278" s="372"/>
      <c r="DQ278" s="372"/>
    </row>
    <row r="279" spans="13:121" x14ac:dyDescent="0.15">
      <c r="M279" s="372"/>
      <c r="V279" s="372"/>
      <c r="AG279" s="372"/>
      <c r="AO279" s="372"/>
      <c r="AX279" s="381"/>
      <c r="BH279" s="381"/>
      <c r="BQ279" s="372"/>
      <c r="BZ279" s="372"/>
      <c r="CZ279" s="381"/>
      <c r="DI279" s="372"/>
      <c r="DQ279" s="372"/>
    </row>
    <row r="280" spans="13:121" x14ac:dyDescent="0.15">
      <c r="M280" s="372"/>
      <c r="V280" s="372"/>
      <c r="AG280" s="372"/>
      <c r="AO280" s="372"/>
      <c r="AX280" s="381"/>
      <c r="BH280" s="381"/>
      <c r="BQ280" s="372"/>
      <c r="BZ280" s="372"/>
      <c r="CZ280" s="381"/>
      <c r="DI280" s="372"/>
      <c r="DQ280" s="372"/>
    </row>
    <row r="281" spans="13:121" x14ac:dyDescent="0.15">
      <c r="M281" s="372"/>
      <c r="V281" s="372"/>
      <c r="AG281" s="372"/>
      <c r="AO281" s="372"/>
      <c r="AX281" s="381"/>
      <c r="BH281" s="381"/>
      <c r="BQ281" s="372"/>
      <c r="BZ281" s="372"/>
      <c r="CZ281" s="381"/>
      <c r="DI281" s="372"/>
      <c r="DQ281" s="372"/>
    </row>
    <row r="282" spans="13:121" x14ac:dyDescent="0.15">
      <c r="M282" s="372"/>
      <c r="V282" s="372"/>
      <c r="AG282" s="372"/>
      <c r="AO282" s="372"/>
      <c r="AX282" s="381"/>
      <c r="BH282" s="381"/>
      <c r="BQ282" s="372"/>
      <c r="BZ282" s="372"/>
      <c r="CZ282" s="381"/>
      <c r="DI282" s="372"/>
      <c r="DQ282" s="372"/>
    </row>
    <row r="283" spans="13:121" x14ac:dyDescent="0.15">
      <c r="M283" s="372"/>
      <c r="V283" s="372"/>
      <c r="AG283" s="372"/>
      <c r="AO283" s="372"/>
      <c r="AX283" s="381"/>
      <c r="BH283" s="381"/>
      <c r="BQ283" s="372"/>
      <c r="BZ283" s="372"/>
      <c r="CZ283" s="381"/>
      <c r="DI283" s="372"/>
      <c r="DQ283" s="372"/>
    </row>
    <row r="284" spans="13:121" x14ac:dyDescent="0.15">
      <c r="M284" s="372"/>
      <c r="V284" s="372"/>
      <c r="AG284" s="372"/>
      <c r="AO284" s="372"/>
      <c r="AX284" s="381"/>
      <c r="BH284" s="381"/>
      <c r="BQ284" s="372"/>
      <c r="BZ284" s="372"/>
      <c r="CZ284" s="381"/>
      <c r="DI284" s="372"/>
      <c r="DQ284" s="372"/>
    </row>
    <row r="285" spans="13:121" x14ac:dyDescent="0.15">
      <c r="M285" s="372"/>
      <c r="V285" s="372"/>
      <c r="AG285" s="372"/>
      <c r="AO285" s="372"/>
      <c r="AX285" s="381"/>
      <c r="BH285" s="381"/>
      <c r="BQ285" s="372"/>
      <c r="BZ285" s="372"/>
      <c r="CZ285" s="381"/>
      <c r="DI285" s="372"/>
      <c r="DQ285" s="372"/>
    </row>
    <row r="286" spans="13:121" x14ac:dyDescent="0.15">
      <c r="M286" s="372"/>
      <c r="V286" s="372"/>
      <c r="AG286" s="372"/>
      <c r="AO286" s="372"/>
      <c r="AX286" s="381"/>
      <c r="BH286" s="381"/>
      <c r="BQ286" s="372"/>
      <c r="BZ286" s="372"/>
      <c r="CZ286" s="381"/>
      <c r="DI286" s="372"/>
      <c r="DQ286" s="372"/>
    </row>
    <row r="287" spans="13:121" x14ac:dyDescent="0.15">
      <c r="M287" s="372"/>
      <c r="V287" s="372"/>
      <c r="AG287" s="372"/>
      <c r="AO287" s="372"/>
      <c r="AX287" s="381"/>
      <c r="BH287" s="381"/>
      <c r="BQ287" s="372"/>
      <c r="BZ287" s="372"/>
      <c r="CZ287" s="381"/>
      <c r="DI287" s="372"/>
      <c r="DQ287" s="372"/>
    </row>
    <row r="288" spans="13:121" x14ac:dyDescent="0.15">
      <c r="M288" s="372"/>
      <c r="V288" s="372"/>
      <c r="AG288" s="372"/>
      <c r="AO288" s="372"/>
      <c r="AX288" s="381"/>
      <c r="BH288" s="381"/>
      <c r="BQ288" s="372"/>
      <c r="BZ288" s="372"/>
      <c r="CZ288" s="381"/>
      <c r="DI288" s="372"/>
      <c r="DQ288" s="372"/>
    </row>
    <row r="289" spans="13:121" x14ac:dyDescent="0.15">
      <c r="M289" s="372"/>
      <c r="V289" s="372"/>
      <c r="AG289" s="372"/>
      <c r="AO289" s="372"/>
      <c r="AX289" s="381"/>
      <c r="BH289" s="381"/>
      <c r="BQ289" s="372"/>
      <c r="BZ289" s="372"/>
      <c r="CZ289" s="381"/>
      <c r="DI289" s="372"/>
      <c r="DQ289" s="372"/>
    </row>
    <row r="290" spans="13:121" x14ac:dyDescent="0.15">
      <c r="M290" s="372"/>
      <c r="V290" s="372"/>
      <c r="AG290" s="372"/>
      <c r="AO290" s="372"/>
      <c r="AX290" s="381"/>
      <c r="BH290" s="381"/>
      <c r="BQ290" s="372"/>
      <c r="BZ290" s="372"/>
      <c r="CZ290" s="381"/>
      <c r="DI290" s="372"/>
      <c r="DQ290" s="372"/>
    </row>
    <row r="291" spans="13:121" x14ac:dyDescent="0.15">
      <c r="M291" s="372"/>
      <c r="V291" s="372"/>
      <c r="AG291" s="372"/>
      <c r="AO291" s="372"/>
      <c r="AX291" s="381"/>
      <c r="BH291" s="381"/>
      <c r="BQ291" s="372"/>
      <c r="BZ291" s="372"/>
      <c r="CZ291" s="381"/>
      <c r="DI291" s="372"/>
      <c r="DQ291" s="372"/>
    </row>
    <row r="292" spans="13:121" x14ac:dyDescent="0.15">
      <c r="M292" s="372"/>
      <c r="V292" s="372"/>
      <c r="AG292" s="372"/>
      <c r="AO292" s="372"/>
      <c r="AX292" s="381"/>
      <c r="BH292" s="381"/>
      <c r="BQ292" s="372"/>
      <c r="BZ292" s="372"/>
      <c r="CZ292" s="381"/>
      <c r="DI292" s="372"/>
      <c r="DQ292" s="372"/>
    </row>
    <row r="293" spans="13:121" x14ac:dyDescent="0.15">
      <c r="M293" s="372"/>
      <c r="V293" s="372"/>
      <c r="AG293" s="372"/>
      <c r="AO293" s="372"/>
      <c r="AX293" s="381"/>
      <c r="BH293" s="381"/>
      <c r="BQ293" s="372"/>
      <c r="BZ293" s="372"/>
      <c r="CZ293" s="381"/>
      <c r="DI293" s="372"/>
      <c r="DQ293" s="372"/>
    </row>
    <row r="294" spans="13:121" x14ac:dyDescent="0.15">
      <c r="M294" s="372"/>
      <c r="V294" s="372"/>
      <c r="AG294" s="372"/>
      <c r="AO294" s="372"/>
      <c r="AX294" s="381"/>
      <c r="BH294" s="381"/>
      <c r="BQ294" s="372"/>
      <c r="BZ294" s="372"/>
      <c r="CZ294" s="381"/>
      <c r="DI294" s="372"/>
      <c r="DQ294" s="372"/>
    </row>
    <row r="295" spans="13:121" x14ac:dyDescent="0.15">
      <c r="M295" s="372"/>
      <c r="V295" s="372"/>
      <c r="AG295" s="372"/>
      <c r="AO295" s="372"/>
      <c r="AX295" s="381"/>
      <c r="BH295" s="381"/>
      <c r="BQ295" s="372"/>
      <c r="BZ295" s="372"/>
      <c r="CZ295" s="381"/>
      <c r="DI295" s="372"/>
      <c r="DQ295" s="372"/>
    </row>
    <row r="296" spans="13:121" x14ac:dyDescent="0.15">
      <c r="M296" s="372"/>
      <c r="V296" s="372"/>
      <c r="AG296" s="372"/>
      <c r="AO296" s="372"/>
      <c r="AX296" s="381"/>
      <c r="BH296" s="381"/>
      <c r="BQ296" s="372"/>
      <c r="BZ296" s="372"/>
      <c r="CZ296" s="381"/>
      <c r="DI296" s="372"/>
      <c r="DQ296" s="372"/>
    </row>
    <row r="297" spans="13:121" x14ac:dyDescent="0.15">
      <c r="M297" s="372"/>
      <c r="V297" s="372"/>
      <c r="AG297" s="372"/>
      <c r="AO297" s="372"/>
      <c r="AX297" s="381"/>
      <c r="BH297" s="381"/>
      <c r="BQ297" s="372"/>
      <c r="BZ297" s="372"/>
      <c r="CZ297" s="381"/>
      <c r="DI297" s="372"/>
      <c r="DQ297" s="372"/>
    </row>
    <row r="298" spans="13:121" x14ac:dyDescent="0.15">
      <c r="M298" s="372"/>
      <c r="V298" s="372"/>
      <c r="AG298" s="372"/>
      <c r="AO298" s="372"/>
      <c r="AX298" s="381"/>
      <c r="BH298" s="381"/>
      <c r="BQ298" s="372"/>
      <c r="BZ298" s="372"/>
      <c r="CZ298" s="381"/>
      <c r="DI298" s="372"/>
      <c r="DQ298" s="372"/>
    </row>
    <row r="299" spans="13:121" x14ac:dyDescent="0.15">
      <c r="M299" s="372"/>
      <c r="V299" s="372"/>
      <c r="AG299" s="372"/>
      <c r="AO299" s="372"/>
      <c r="AX299" s="381"/>
      <c r="BH299" s="381"/>
      <c r="BQ299" s="372"/>
      <c r="BZ299" s="372"/>
      <c r="CZ299" s="381"/>
      <c r="DI299" s="372"/>
      <c r="DQ299" s="372"/>
    </row>
    <row r="300" spans="13:121" x14ac:dyDescent="0.15">
      <c r="M300" s="372"/>
      <c r="V300" s="372"/>
      <c r="AG300" s="372"/>
      <c r="AO300" s="372"/>
      <c r="AX300" s="381"/>
      <c r="BH300" s="381"/>
      <c r="BQ300" s="372"/>
      <c r="BZ300" s="372"/>
      <c r="CZ300" s="381"/>
      <c r="DI300" s="372"/>
      <c r="DQ300" s="372"/>
    </row>
    <row r="301" spans="13:121" x14ac:dyDescent="0.15">
      <c r="M301" s="372"/>
      <c r="V301" s="372"/>
      <c r="AG301" s="372"/>
      <c r="AO301" s="372"/>
      <c r="AX301" s="381"/>
      <c r="BH301" s="381"/>
      <c r="BQ301" s="372"/>
      <c r="BZ301" s="372"/>
      <c r="CZ301" s="381"/>
      <c r="DI301" s="372"/>
      <c r="DQ301" s="372"/>
    </row>
    <row r="302" spans="13:121" x14ac:dyDescent="0.15">
      <c r="M302" s="372"/>
      <c r="V302" s="372"/>
      <c r="AG302" s="372"/>
      <c r="AO302" s="372"/>
      <c r="AX302" s="381"/>
      <c r="BH302" s="381"/>
      <c r="BQ302" s="372"/>
      <c r="BZ302" s="372"/>
      <c r="CZ302" s="381"/>
      <c r="DI302" s="372"/>
      <c r="DQ302" s="372"/>
    </row>
    <row r="303" spans="13:121" x14ac:dyDescent="0.15">
      <c r="M303" s="372"/>
      <c r="V303" s="372"/>
      <c r="AG303" s="372"/>
      <c r="AO303" s="372"/>
      <c r="AX303" s="381"/>
      <c r="BH303" s="381"/>
      <c r="BQ303" s="372"/>
      <c r="BZ303" s="372"/>
      <c r="CZ303" s="381"/>
      <c r="DI303" s="372"/>
      <c r="DQ303" s="372"/>
    </row>
    <row r="304" spans="13:121" x14ac:dyDescent="0.15">
      <c r="M304" s="372"/>
      <c r="V304" s="372"/>
      <c r="AG304" s="372"/>
      <c r="AO304" s="372"/>
      <c r="AX304" s="381"/>
      <c r="BH304" s="381"/>
      <c r="BQ304" s="372"/>
      <c r="BZ304" s="372"/>
      <c r="CZ304" s="381"/>
      <c r="DI304" s="372"/>
      <c r="DQ304" s="372"/>
    </row>
    <row r="305" spans="13:121" x14ac:dyDescent="0.15">
      <c r="M305" s="372"/>
      <c r="V305" s="372"/>
      <c r="AG305" s="372"/>
      <c r="AO305" s="372"/>
      <c r="AX305" s="381"/>
      <c r="BH305" s="381"/>
      <c r="BQ305" s="372"/>
      <c r="BZ305" s="372"/>
      <c r="CZ305" s="381"/>
      <c r="DI305" s="372"/>
      <c r="DQ305" s="372"/>
    </row>
    <row r="306" spans="13:121" x14ac:dyDescent="0.15">
      <c r="M306" s="372"/>
      <c r="V306" s="372"/>
      <c r="AG306" s="372"/>
      <c r="AO306" s="372"/>
      <c r="AX306" s="381"/>
      <c r="BH306" s="381"/>
      <c r="BQ306" s="372"/>
      <c r="BZ306" s="372"/>
      <c r="CZ306" s="381"/>
      <c r="DI306" s="372"/>
      <c r="DQ306" s="372"/>
    </row>
    <row r="307" spans="13:121" x14ac:dyDescent="0.15">
      <c r="M307" s="372"/>
      <c r="V307" s="372"/>
      <c r="AG307" s="372"/>
      <c r="AO307" s="372"/>
      <c r="AX307" s="381"/>
      <c r="BH307" s="381"/>
      <c r="BQ307" s="372"/>
      <c r="BZ307" s="372"/>
      <c r="CZ307" s="381"/>
      <c r="DI307" s="372"/>
      <c r="DQ307" s="372"/>
    </row>
    <row r="308" spans="13:121" x14ac:dyDescent="0.15">
      <c r="M308" s="372"/>
      <c r="V308" s="372"/>
      <c r="AG308" s="372"/>
      <c r="AO308" s="372"/>
      <c r="AX308" s="381"/>
      <c r="BH308" s="381"/>
      <c r="BQ308" s="372"/>
      <c r="BZ308" s="372"/>
      <c r="CZ308" s="381"/>
      <c r="DI308" s="372"/>
      <c r="DQ308" s="372"/>
    </row>
    <row r="309" spans="13:121" x14ac:dyDescent="0.15">
      <c r="M309" s="372"/>
      <c r="V309" s="372"/>
      <c r="AG309" s="372"/>
      <c r="AO309" s="372"/>
      <c r="AX309" s="381"/>
      <c r="BH309" s="381"/>
      <c r="BQ309" s="372"/>
      <c r="BZ309" s="372"/>
      <c r="CZ309" s="381"/>
      <c r="DI309" s="372"/>
      <c r="DQ309" s="372"/>
    </row>
    <row r="310" spans="13:121" x14ac:dyDescent="0.15">
      <c r="M310" s="372"/>
      <c r="V310" s="372"/>
      <c r="AG310" s="372"/>
      <c r="AO310" s="372"/>
      <c r="AX310" s="381"/>
      <c r="BH310" s="381"/>
      <c r="BQ310" s="372"/>
      <c r="BZ310" s="372"/>
      <c r="CZ310" s="381"/>
      <c r="DI310" s="372"/>
      <c r="DQ310" s="372"/>
    </row>
    <row r="311" spans="13:121" x14ac:dyDescent="0.15">
      <c r="M311" s="372"/>
      <c r="V311" s="372"/>
      <c r="AG311" s="372"/>
      <c r="AO311" s="372"/>
      <c r="AX311" s="381"/>
      <c r="BH311" s="381"/>
      <c r="BQ311" s="372"/>
      <c r="BZ311" s="372"/>
      <c r="CZ311" s="381"/>
      <c r="DI311" s="372"/>
      <c r="DQ311" s="372"/>
    </row>
    <row r="312" spans="13:121" x14ac:dyDescent="0.15">
      <c r="M312" s="372"/>
      <c r="V312" s="372"/>
      <c r="AG312" s="372"/>
      <c r="AO312" s="372"/>
      <c r="AX312" s="381"/>
      <c r="BH312" s="381"/>
      <c r="BQ312" s="372"/>
      <c r="BZ312" s="372"/>
      <c r="CZ312" s="381"/>
      <c r="DI312" s="372"/>
      <c r="DQ312" s="372"/>
    </row>
    <row r="313" spans="13:121" x14ac:dyDescent="0.15">
      <c r="M313" s="372"/>
      <c r="V313" s="372"/>
      <c r="AG313" s="372"/>
      <c r="AO313" s="372"/>
      <c r="AX313" s="381"/>
      <c r="BH313" s="381"/>
      <c r="BQ313" s="372"/>
      <c r="BZ313" s="372"/>
      <c r="CZ313" s="381"/>
      <c r="DI313" s="372"/>
      <c r="DQ313" s="372"/>
    </row>
    <row r="314" spans="13:121" x14ac:dyDescent="0.15">
      <c r="M314" s="372"/>
      <c r="V314" s="372"/>
      <c r="AG314" s="372"/>
      <c r="AO314" s="372"/>
      <c r="AX314" s="381"/>
      <c r="BH314" s="381"/>
      <c r="BQ314" s="372"/>
      <c r="BZ314" s="372"/>
      <c r="CZ314" s="381"/>
      <c r="DI314" s="372"/>
      <c r="DQ314" s="372"/>
    </row>
    <row r="315" spans="13:121" x14ac:dyDescent="0.15">
      <c r="M315" s="372"/>
      <c r="V315" s="372"/>
      <c r="AG315" s="372"/>
      <c r="AO315" s="372"/>
      <c r="AX315" s="381"/>
      <c r="BH315" s="381"/>
      <c r="BQ315" s="372"/>
      <c r="BZ315" s="372"/>
      <c r="CZ315" s="381"/>
      <c r="DI315" s="372"/>
      <c r="DQ315" s="372"/>
    </row>
    <row r="316" spans="13:121" x14ac:dyDescent="0.15">
      <c r="M316" s="372"/>
      <c r="V316" s="372"/>
      <c r="AG316" s="372"/>
      <c r="AO316" s="372"/>
      <c r="AX316" s="381"/>
      <c r="BH316" s="381"/>
      <c r="BQ316" s="372"/>
      <c r="BZ316" s="372"/>
      <c r="CZ316" s="381"/>
      <c r="DI316" s="372"/>
      <c r="DQ316" s="372"/>
    </row>
    <row r="317" spans="13:121" x14ac:dyDescent="0.15">
      <c r="M317" s="372"/>
      <c r="V317" s="372"/>
      <c r="AG317" s="372"/>
      <c r="AO317" s="372"/>
      <c r="AX317" s="381"/>
      <c r="BH317" s="381"/>
      <c r="BQ317" s="372"/>
      <c r="BZ317" s="372"/>
      <c r="CZ317" s="381"/>
      <c r="DI317" s="372"/>
      <c r="DQ317" s="372"/>
    </row>
    <row r="318" spans="13:121" x14ac:dyDescent="0.15">
      <c r="M318" s="372"/>
      <c r="V318" s="372"/>
      <c r="AG318" s="372"/>
      <c r="AO318" s="372"/>
      <c r="AX318" s="381"/>
      <c r="BH318" s="381"/>
      <c r="BQ318" s="372"/>
      <c r="BZ318" s="372"/>
      <c r="CZ318" s="381"/>
      <c r="DI318" s="372"/>
      <c r="DQ318" s="372"/>
    </row>
    <row r="319" spans="13:121" x14ac:dyDescent="0.15">
      <c r="M319" s="372"/>
      <c r="V319" s="372"/>
      <c r="AG319" s="372"/>
      <c r="AO319" s="372"/>
      <c r="AX319" s="381"/>
      <c r="BH319" s="381"/>
      <c r="BQ319" s="372"/>
      <c r="BZ319" s="372"/>
      <c r="CZ319" s="381"/>
      <c r="DI319" s="372"/>
      <c r="DQ319" s="372"/>
    </row>
    <row r="320" spans="13:121" x14ac:dyDescent="0.15">
      <c r="M320" s="372"/>
      <c r="V320" s="372"/>
      <c r="AG320" s="372"/>
      <c r="AO320" s="372"/>
      <c r="AX320" s="381"/>
      <c r="BH320" s="381"/>
      <c r="BQ320" s="372"/>
      <c r="BZ320" s="372"/>
      <c r="CZ320" s="381"/>
      <c r="DI320" s="372"/>
      <c r="DQ320" s="372"/>
    </row>
    <row r="321" spans="13:121" x14ac:dyDescent="0.15">
      <c r="M321" s="372"/>
      <c r="V321" s="372"/>
      <c r="AG321" s="372"/>
      <c r="AO321" s="372"/>
      <c r="AX321" s="381"/>
      <c r="BH321" s="381"/>
      <c r="BQ321" s="372"/>
      <c r="BZ321" s="372"/>
      <c r="CZ321" s="381"/>
      <c r="DI321" s="372"/>
      <c r="DQ321" s="372"/>
    </row>
    <row r="322" spans="13:121" x14ac:dyDescent="0.15">
      <c r="M322" s="372"/>
      <c r="V322" s="372"/>
      <c r="AG322" s="372"/>
      <c r="AO322" s="372"/>
      <c r="AX322" s="381"/>
      <c r="BH322" s="381"/>
      <c r="BQ322" s="372"/>
      <c r="BZ322" s="372"/>
      <c r="CZ322" s="381"/>
      <c r="DI322" s="372"/>
      <c r="DQ322" s="372"/>
    </row>
    <row r="323" spans="13:121" x14ac:dyDescent="0.15">
      <c r="M323" s="372"/>
      <c r="V323" s="372"/>
      <c r="AG323" s="372"/>
      <c r="AO323" s="372"/>
      <c r="AX323" s="381"/>
      <c r="BH323" s="381"/>
      <c r="BQ323" s="372"/>
      <c r="BZ323" s="372"/>
      <c r="CZ323" s="381"/>
      <c r="DI323" s="372"/>
      <c r="DQ323" s="372"/>
    </row>
    <row r="324" spans="13:121" x14ac:dyDescent="0.15">
      <c r="M324" s="372"/>
      <c r="V324" s="372"/>
      <c r="AG324" s="372"/>
      <c r="AO324" s="372"/>
      <c r="AX324" s="381"/>
      <c r="BH324" s="381"/>
      <c r="BQ324" s="372"/>
      <c r="BZ324" s="372"/>
      <c r="CZ324" s="381"/>
      <c r="DI324" s="372"/>
      <c r="DQ324" s="372"/>
    </row>
    <row r="325" spans="13:121" x14ac:dyDescent="0.15">
      <c r="M325" s="372"/>
      <c r="V325" s="372"/>
      <c r="AG325" s="372"/>
      <c r="AO325" s="372"/>
      <c r="AX325" s="381"/>
      <c r="BH325" s="381"/>
      <c r="BQ325" s="372"/>
      <c r="BZ325" s="372"/>
      <c r="CZ325" s="381"/>
      <c r="DI325" s="372"/>
      <c r="DQ325" s="372"/>
    </row>
    <row r="326" spans="13:121" x14ac:dyDescent="0.15">
      <c r="M326" s="372"/>
      <c r="V326" s="372"/>
      <c r="AG326" s="372"/>
      <c r="AO326" s="372"/>
      <c r="AX326" s="381"/>
      <c r="BH326" s="381"/>
      <c r="BQ326" s="372"/>
      <c r="BZ326" s="372"/>
      <c r="CZ326" s="381"/>
      <c r="DI326" s="372"/>
      <c r="DQ326" s="372"/>
    </row>
    <row r="327" spans="13:121" x14ac:dyDescent="0.15">
      <c r="M327" s="372"/>
      <c r="V327" s="372"/>
      <c r="AG327" s="372"/>
      <c r="AO327" s="372"/>
      <c r="AX327" s="381"/>
      <c r="BH327" s="381"/>
      <c r="BQ327" s="372"/>
      <c r="BZ327" s="372"/>
      <c r="CZ327" s="381"/>
      <c r="DI327" s="372"/>
      <c r="DQ327" s="372"/>
    </row>
    <row r="328" spans="13:121" x14ac:dyDescent="0.15">
      <c r="M328" s="372"/>
      <c r="V328" s="372"/>
      <c r="AG328" s="372"/>
      <c r="AO328" s="372"/>
      <c r="AX328" s="381"/>
      <c r="BH328" s="381"/>
      <c r="BQ328" s="372"/>
      <c r="BZ328" s="372"/>
      <c r="CZ328" s="381"/>
      <c r="DI328" s="372"/>
      <c r="DQ328" s="372"/>
    </row>
    <row r="329" spans="13:121" x14ac:dyDescent="0.15">
      <c r="M329" s="372"/>
      <c r="V329" s="372"/>
      <c r="AG329" s="372"/>
      <c r="AO329" s="372"/>
      <c r="AX329" s="381"/>
      <c r="BH329" s="381"/>
      <c r="BQ329" s="372"/>
      <c r="BZ329" s="372"/>
      <c r="CZ329" s="381"/>
      <c r="DI329" s="372"/>
      <c r="DQ329" s="372"/>
    </row>
    <row r="330" spans="13:121" x14ac:dyDescent="0.15">
      <c r="M330" s="372"/>
      <c r="V330" s="372"/>
      <c r="AG330" s="372"/>
      <c r="AO330" s="372"/>
      <c r="AX330" s="381"/>
      <c r="BH330" s="381"/>
      <c r="BQ330" s="372"/>
      <c r="BZ330" s="372"/>
      <c r="CZ330" s="381"/>
      <c r="DI330" s="372"/>
      <c r="DQ330" s="372"/>
    </row>
    <row r="331" spans="13:121" x14ac:dyDescent="0.15">
      <c r="M331" s="372"/>
      <c r="V331" s="372"/>
      <c r="AG331" s="372"/>
      <c r="AO331" s="372"/>
      <c r="AX331" s="381"/>
      <c r="BH331" s="381"/>
      <c r="BQ331" s="372"/>
      <c r="BZ331" s="372"/>
      <c r="CZ331" s="381"/>
      <c r="DI331" s="372"/>
      <c r="DQ331" s="372"/>
    </row>
    <row r="332" spans="13:121" x14ac:dyDescent="0.15">
      <c r="M332" s="372"/>
      <c r="V332" s="372"/>
      <c r="AG332" s="372"/>
      <c r="AO332" s="372"/>
      <c r="AX332" s="381"/>
      <c r="BH332" s="381"/>
      <c r="BQ332" s="372"/>
      <c r="BZ332" s="372"/>
      <c r="CZ332" s="381"/>
      <c r="DI332" s="372"/>
      <c r="DQ332" s="372"/>
    </row>
    <row r="333" spans="13:121" x14ac:dyDescent="0.15">
      <c r="M333" s="372"/>
      <c r="V333" s="372"/>
      <c r="AG333" s="372"/>
      <c r="AO333" s="372"/>
      <c r="AX333" s="381"/>
      <c r="BH333" s="381"/>
      <c r="BQ333" s="372"/>
      <c r="BZ333" s="372"/>
      <c r="CZ333" s="381"/>
      <c r="DI333" s="372"/>
      <c r="DQ333" s="372"/>
    </row>
    <row r="334" spans="13:121" x14ac:dyDescent="0.15">
      <c r="M334" s="372"/>
      <c r="V334" s="372"/>
      <c r="AG334" s="372"/>
      <c r="AO334" s="372"/>
      <c r="AX334" s="381"/>
      <c r="BH334" s="381"/>
      <c r="BQ334" s="372"/>
      <c r="BZ334" s="372"/>
      <c r="CZ334" s="381"/>
      <c r="DI334" s="372"/>
      <c r="DQ334" s="372"/>
    </row>
    <row r="335" spans="13:121" x14ac:dyDescent="0.15">
      <c r="M335" s="372"/>
      <c r="V335" s="372"/>
      <c r="AG335" s="372"/>
      <c r="AO335" s="372"/>
      <c r="AX335" s="381"/>
      <c r="BH335" s="381"/>
      <c r="BQ335" s="372"/>
      <c r="BZ335" s="372"/>
      <c r="CZ335" s="381"/>
      <c r="DI335" s="372"/>
      <c r="DQ335" s="372"/>
    </row>
    <row r="336" spans="13:121" x14ac:dyDescent="0.15">
      <c r="M336" s="372"/>
      <c r="V336" s="372"/>
      <c r="AG336" s="372"/>
      <c r="AO336" s="372"/>
      <c r="AX336" s="381"/>
      <c r="BH336" s="381"/>
      <c r="BQ336" s="372"/>
      <c r="BZ336" s="372"/>
      <c r="CZ336" s="381"/>
      <c r="DI336" s="372"/>
      <c r="DQ336" s="372"/>
    </row>
    <row r="337" spans="13:121" x14ac:dyDescent="0.15">
      <c r="M337" s="372"/>
      <c r="V337" s="372"/>
      <c r="AG337" s="372"/>
      <c r="AO337" s="372"/>
      <c r="AX337" s="381"/>
      <c r="BH337" s="381"/>
      <c r="BQ337" s="372"/>
      <c r="BZ337" s="372"/>
      <c r="CZ337" s="381"/>
      <c r="DI337" s="372"/>
      <c r="DQ337" s="372"/>
    </row>
    <row r="338" spans="13:121" x14ac:dyDescent="0.15">
      <c r="M338" s="372"/>
      <c r="V338" s="372"/>
      <c r="AG338" s="372"/>
      <c r="AO338" s="372"/>
      <c r="AX338" s="381"/>
      <c r="BH338" s="381"/>
      <c r="BQ338" s="372"/>
      <c r="BZ338" s="372"/>
      <c r="CZ338" s="381"/>
      <c r="DI338" s="372"/>
      <c r="DQ338" s="372"/>
    </row>
    <row r="339" spans="13:121" x14ac:dyDescent="0.15">
      <c r="M339" s="372"/>
      <c r="V339" s="372"/>
      <c r="AG339" s="372"/>
      <c r="AO339" s="372"/>
      <c r="AX339" s="381"/>
      <c r="BH339" s="381"/>
      <c r="BQ339" s="372"/>
      <c r="BZ339" s="372"/>
      <c r="CZ339" s="381"/>
      <c r="DI339" s="372"/>
      <c r="DQ339" s="372"/>
    </row>
    <row r="340" spans="13:121" x14ac:dyDescent="0.15">
      <c r="M340" s="372"/>
      <c r="V340" s="372"/>
      <c r="AG340" s="372"/>
      <c r="AO340" s="372"/>
      <c r="AX340" s="381"/>
      <c r="BH340" s="381"/>
      <c r="BQ340" s="372"/>
      <c r="BZ340" s="372"/>
      <c r="CZ340" s="381"/>
      <c r="DI340" s="372"/>
      <c r="DQ340" s="372"/>
    </row>
    <row r="341" spans="13:121" x14ac:dyDescent="0.15">
      <c r="M341" s="372"/>
      <c r="V341" s="372"/>
      <c r="AG341" s="372"/>
      <c r="AO341" s="372"/>
      <c r="AX341" s="381"/>
      <c r="BH341" s="381"/>
      <c r="BQ341" s="372"/>
      <c r="BZ341" s="372"/>
      <c r="CZ341" s="381"/>
      <c r="DI341" s="372"/>
      <c r="DQ341" s="372"/>
    </row>
    <row r="342" spans="13:121" x14ac:dyDescent="0.15">
      <c r="M342" s="372"/>
      <c r="V342" s="372"/>
      <c r="AG342" s="372"/>
      <c r="AO342" s="372"/>
      <c r="AX342" s="381"/>
      <c r="BH342" s="381"/>
      <c r="BQ342" s="372"/>
      <c r="BZ342" s="372"/>
      <c r="CZ342" s="381"/>
      <c r="DI342" s="372"/>
      <c r="DQ342" s="372"/>
    </row>
    <row r="343" spans="13:121" x14ac:dyDescent="0.15">
      <c r="M343" s="372"/>
      <c r="V343" s="372"/>
      <c r="AG343" s="372"/>
      <c r="AO343" s="372"/>
      <c r="AX343" s="381"/>
      <c r="BH343" s="381"/>
      <c r="BQ343" s="372"/>
      <c r="BZ343" s="372"/>
      <c r="CZ343" s="381"/>
      <c r="DI343" s="372"/>
      <c r="DQ343" s="372"/>
    </row>
    <row r="344" spans="13:121" x14ac:dyDescent="0.15">
      <c r="M344" s="372"/>
      <c r="V344" s="372"/>
      <c r="AG344" s="372"/>
      <c r="AO344" s="372"/>
      <c r="AX344" s="381"/>
      <c r="BH344" s="381"/>
      <c r="BQ344" s="372"/>
      <c r="BZ344" s="372"/>
      <c r="CZ344" s="381"/>
      <c r="DI344" s="372"/>
      <c r="DQ344" s="372"/>
    </row>
    <row r="345" spans="13:121" x14ac:dyDescent="0.15">
      <c r="M345" s="372"/>
      <c r="V345" s="372"/>
      <c r="AG345" s="372"/>
      <c r="AO345" s="372"/>
      <c r="AX345" s="381"/>
      <c r="BH345" s="381"/>
      <c r="BQ345" s="372"/>
      <c r="BZ345" s="372"/>
      <c r="CZ345" s="381"/>
      <c r="DI345" s="372"/>
      <c r="DQ345" s="372"/>
    </row>
    <row r="346" spans="13:121" x14ac:dyDescent="0.15">
      <c r="M346" s="372"/>
      <c r="V346" s="372"/>
      <c r="AG346" s="372"/>
      <c r="AO346" s="372"/>
      <c r="AX346" s="381"/>
      <c r="BH346" s="381"/>
      <c r="BQ346" s="372"/>
      <c r="BZ346" s="372"/>
      <c r="CZ346" s="381"/>
      <c r="DI346" s="372"/>
      <c r="DQ346" s="372"/>
    </row>
    <row r="347" spans="13:121" x14ac:dyDescent="0.15">
      <c r="M347" s="372"/>
      <c r="V347" s="372"/>
      <c r="AG347" s="372"/>
      <c r="AO347" s="372"/>
      <c r="AX347" s="381"/>
      <c r="BH347" s="381"/>
      <c r="BQ347" s="372"/>
      <c r="BZ347" s="372"/>
      <c r="CZ347" s="381"/>
      <c r="DI347" s="372"/>
      <c r="DQ347" s="372"/>
    </row>
    <row r="348" spans="13:121" x14ac:dyDescent="0.15">
      <c r="M348" s="372"/>
      <c r="V348" s="372"/>
      <c r="AG348" s="372"/>
      <c r="AO348" s="372"/>
      <c r="AX348" s="381"/>
      <c r="BH348" s="381"/>
      <c r="BQ348" s="372"/>
      <c r="BZ348" s="372"/>
      <c r="CZ348" s="381"/>
      <c r="DI348" s="372"/>
      <c r="DQ348" s="372"/>
    </row>
    <row r="349" spans="13:121" x14ac:dyDescent="0.15">
      <c r="M349" s="372"/>
      <c r="V349" s="372"/>
      <c r="AG349" s="372"/>
      <c r="AO349" s="372"/>
      <c r="AX349" s="381"/>
      <c r="BH349" s="381"/>
      <c r="BQ349" s="372"/>
      <c r="BZ349" s="372"/>
      <c r="CZ349" s="381"/>
      <c r="DI349" s="372"/>
      <c r="DQ349" s="372"/>
    </row>
    <row r="350" spans="13:121" x14ac:dyDescent="0.15">
      <c r="M350" s="372"/>
      <c r="V350" s="372"/>
      <c r="AG350" s="372"/>
      <c r="AO350" s="372"/>
      <c r="AX350" s="381"/>
      <c r="BH350" s="381"/>
      <c r="BQ350" s="372"/>
      <c r="BZ350" s="372"/>
      <c r="CZ350" s="381"/>
      <c r="DI350" s="372"/>
      <c r="DQ350" s="372"/>
    </row>
    <row r="351" spans="13:121" x14ac:dyDescent="0.15">
      <c r="M351" s="372"/>
      <c r="V351" s="372"/>
      <c r="AG351" s="372"/>
      <c r="AO351" s="372"/>
      <c r="AX351" s="381"/>
      <c r="BH351" s="381"/>
      <c r="BQ351" s="372"/>
      <c r="BZ351" s="372"/>
      <c r="CZ351" s="381"/>
      <c r="DI351" s="372"/>
      <c r="DQ351" s="372"/>
    </row>
    <row r="352" spans="13:121" x14ac:dyDescent="0.15">
      <c r="M352" s="372"/>
      <c r="V352" s="372"/>
      <c r="AG352" s="372"/>
      <c r="AO352" s="372"/>
      <c r="AX352" s="381"/>
      <c r="BH352" s="381"/>
      <c r="BQ352" s="372"/>
      <c r="BZ352" s="372"/>
      <c r="CZ352" s="381"/>
      <c r="DI352" s="372"/>
      <c r="DQ352" s="372"/>
    </row>
    <row r="353" spans="13:121" x14ac:dyDescent="0.15">
      <c r="M353" s="372"/>
      <c r="V353" s="372"/>
      <c r="AG353" s="372"/>
      <c r="AO353" s="372"/>
      <c r="AX353" s="381"/>
      <c r="BH353" s="381"/>
      <c r="BQ353" s="372"/>
      <c r="BZ353" s="372"/>
      <c r="CZ353" s="381"/>
      <c r="DI353" s="372"/>
      <c r="DQ353" s="372"/>
    </row>
    <row r="354" spans="13:121" x14ac:dyDescent="0.15">
      <c r="M354" s="372"/>
      <c r="V354" s="372"/>
      <c r="AG354" s="372"/>
      <c r="AO354" s="372"/>
      <c r="AX354" s="381"/>
      <c r="BH354" s="381"/>
      <c r="BQ354" s="372"/>
      <c r="BZ354" s="372"/>
      <c r="CZ354" s="381"/>
      <c r="DI354" s="372"/>
      <c r="DQ354" s="372"/>
    </row>
    <row r="355" spans="13:121" x14ac:dyDescent="0.15">
      <c r="M355" s="372"/>
      <c r="V355" s="372"/>
      <c r="AG355" s="372"/>
      <c r="AO355" s="372"/>
      <c r="AX355" s="381"/>
      <c r="BH355" s="381"/>
      <c r="BQ355" s="372"/>
      <c r="BZ355" s="372"/>
      <c r="CZ355" s="381"/>
      <c r="DI355" s="372"/>
      <c r="DQ355" s="372"/>
    </row>
    <row r="356" spans="13:121" x14ac:dyDescent="0.15">
      <c r="M356" s="372"/>
      <c r="V356" s="372"/>
      <c r="AG356" s="372"/>
      <c r="AO356" s="372"/>
      <c r="AX356" s="381"/>
      <c r="BH356" s="381"/>
      <c r="BQ356" s="372"/>
      <c r="BZ356" s="372"/>
      <c r="CZ356" s="381"/>
      <c r="DI356" s="372"/>
      <c r="DQ356" s="372"/>
    </row>
    <row r="357" spans="13:121" x14ac:dyDescent="0.15">
      <c r="M357" s="372"/>
      <c r="V357" s="372"/>
      <c r="AG357" s="372"/>
      <c r="AO357" s="372"/>
      <c r="AX357" s="381"/>
      <c r="BH357" s="381"/>
      <c r="BQ357" s="372"/>
      <c r="BZ357" s="372"/>
      <c r="CZ357" s="381"/>
      <c r="DI357" s="372"/>
      <c r="DQ357" s="372"/>
    </row>
    <row r="358" spans="13:121" x14ac:dyDescent="0.15">
      <c r="M358" s="372"/>
      <c r="V358" s="372"/>
      <c r="AG358" s="372"/>
      <c r="AO358" s="372"/>
      <c r="AX358" s="381"/>
      <c r="BH358" s="381"/>
      <c r="BQ358" s="372"/>
      <c r="BZ358" s="372"/>
      <c r="CZ358" s="381"/>
      <c r="DI358" s="372"/>
      <c r="DQ358" s="372"/>
    </row>
    <row r="359" spans="13:121" x14ac:dyDescent="0.15">
      <c r="M359" s="372"/>
      <c r="V359" s="372"/>
      <c r="AG359" s="372"/>
      <c r="AO359" s="372"/>
      <c r="AX359" s="381"/>
      <c r="BH359" s="381"/>
      <c r="BQ359" s="372"/>
      <c r="BZ359" s="372"/>
      <c r="CZ359" s="381"/>
      <c r="DI359" s="372"/>
      <c r="DQ359" s="372"/>
    </row>
    <row r="360" spans="13:121" x14ac:dyDescent="0.15">
      <c r="M360" s="372"/>
      <c r="V360" s="372"/>
      <c r="AG360" s="372"/>
      <c r="AO360" s="372"/>
      <c r="AX360" s="381"/>
      <c r="BH360" s="381"/>
      <c r="BQ360" s="372"/>
      <c r="BZ360" s="372"/>
      <c r="CZ360" s="381"/>
      <c r="DI360" s="372"/>
      <c r="DQ360" s="372"/>
    </row>
    <row r="361" spans="13:121" x14ac:dyDescent="0.15">
      <c r="M361" s="372"/>
      <c r="V361" s="372"/>
      <c r="AG361" s="372"/>
      <c r="AO361" s="372"/>
      <c r="AX361" s="381"/>
      <c r="BH361" s="381"/>
      <c r="BQ361" s="372"/>
      <c r="BZ361" s="372"/>
      <c r="CZ361" s="381"/>
      <c r="DI361" s="372"/>
      <c r="DQ361" s="372"/>
    </row>
    <row r="362" spans="13:121" x14ac:dyDescent="0.15">
      <c r="M362" s="372"/>
      <c r="V362" s="372"/>
      <c r="AG362" s="372"/>
      <c r="AO362" s="372"/>
      <c r="AX362" s="381"/>
      <c r="BH362" s="381"/>
      <c r="BQ362" s="372"/>
      <c r="BZ362" s="372"/>
      <c r="CZ362" s="381"/>
      <c r="DI362" s="372"/>
      <c r="DQ362" s="372"/>
    </row>
    <row r="363" spans="13:121" x14ac:dyDescent="0.15">
      <c r="M363" s="372"/>
      <c r="V363" s="372"/>
      <c r="AG363" s="372"/>
      <c r="AO363" s="372"/>
      <c r="AX363" s="381"/>
      <c r="BH363" s="381"/>
      <c r="BQ363" s="372"/>
      <c r="BZ363" s="372"/>
      <c r="CZ363" s="381"/>
      <c r="DI363" s="372"/>
      <c r="DQ363" s="372"/>
    </row>
    <row r="364" spans="13:121" x14ac:dyDescent="0.15">
      <c r="M364" s="372"/>
      <c r="V364" s="372"/>
      <c r="AG364" s="372"/>
      <c r="AO364" s="372"/>
      <c r="AX364" s="381"/>
      <c r="BH364" s="381"/>
      <c r="BQ364" s="372"/>
      <c r="BZ364" s="372"/>
      <c r="CZ364" s="381"/>
      <c r="DI364" s="372"/>
      <c r="DQ364" s="372"/>
    </row>
    <row r="365" spans="13:121" x14ac:dyDescent="0.15">
      <c r="M365" s="372"/>
      <c r="V365" s="372"/>
      <c r="AG365" s="372"/>
      <c r="AO365" s="372"/>
      <c r="AX365" s="381"/>
      <c r="BH365" s="381"/>
      <c r="BQ365" s="372"/>
      <c r="BZ365" s="372"/>
      <c r="CZ365" s="381"/>
      <c r="DI365" s="372"/>
      <c r="DQ365" s="372"/>
    </row>
    <row r="366" spans="13:121" x14ac:dyDescent="0.15">
      <c r="M366" s="372"/>
      <c r="V366" s="372"/>
      <c r="AG366" s="372"/>
      <c r="AO366" s="372"/>
      <c r="AX366" s="381"/>
      <c r="BH366" s="381"/>
      <c r="BQ366" s="372"/>
      <c r="BZ366" s="372"/>
      <c r="CZ366" s="381"/>
      <c r="DI366" s="372"/>
      <c r="DQ366" s="372"/>
    </row>
    <row r="367" spans="13:121" x14ac:dyDescent="0.15">
      <c r="M367" s="372"/>
      <c r="V367" s="372"/>
      <c r="AG367" s="372"/>
      <c r="AO367" s="372"/>
      <c r="AX367" s="381"/>
      <c r="BH367" s="381"/>
      <c r="BQ367" s="372"/>
      <c r="BZ367" s="372"/>
      <c r="CZ367" s="381"/>
      <c r="DI367" s="372"/>
      <c r="DQ367" s="372"/>
    </row>
    <row r="368" spans="13:121" x14ac:dyDescent="0.15">
      <c r="M368" s="372"/>
      <c r="V368" s="372"/>
      <c r="AG368" s="372"/>
      <c r="AO368" s="372"/>
      <c r="AX368" s="381"/>
      <c r="BH368" s="381"/>
      <c r="BQ368" s="372"/>
      <c r="BZ368" s="372"/>
      <c r="CZ368" s="381"/>
      <c r="DI368" s="372"/>
      <c r="DQ368" s="372"/>
    </row>
    <row r="369" spans="13:121" x14ac:dyDescent="0.15">
      <c r="M369" s="372"/>
      <c r="V369" s="372"/>
      <c r="AG369" s="372"/>
      <c r="AO369" s="372"/>
      <c r="AX369" s="381"/>
      <c r="BH369" s="381"/>
      <c r="BQ369" s="372"/>
      <c r="BZ369" s="372"/>
      <c r="CZ369" s="381"/>
      <c r="DI369" s="372"/>
      <c r="DQ369" s="372"/>
    </row>
    <row r="370" spans="13:121" x14ac:dyDescent="0.15">
      <c r="M370" s="372"/>
      <c r="V370" s="372"/>
      <c r="AG370" s="372"/>
      <c r="AO370" s="372"/>
      <c r="AX370" s="381"/>
      <c r="BH370" s="381"/>
      <c r="BQ370" s="372"/>
      <c r="BZ370" s="372"/>
      <c r="CZ370" s="381"/>
      <c r="DI370" s="372"/>
      <c r="DQ370" s="372"/>
    </row>
    <row r="371" spans="13:121" x14ac:dyDescent="0.15">
      <c r="M371" s="372"/>
      <c r="V371" s="372"/>
      <c r="AG371" s="372"/>
      <c r="AO371" s="372"/>
      <c r="AX371" s="381"/>
      <c r="BH371" s="381"/>
      <c r="BQ371" s="372"/>
      <c r="BZ371" s="372"/>
      <c r="CZ371" s="381"/>
      <c r="DI371" s="372"/>
      <c r="DQ371" s="372"/>
    </row>
    <row r="372" spans="13:121" x14ac:dyDescent="0.15">
      <c r="M372" s="372"/>
      <c r="V372" s="372"/>
      <c r="AG372" s="372"/>
      <c r="AO372" s="372"/>
      <c r="AX372" s="381"/>
      <c r="BH372" s="381"/>
      <c r="BQ372" s="372"/>
      <c r="BZ372" s="372"/>
      <c r="CZ372" s="381"/>
      <c r="DI372" s="372"/>
      <c r="DQ372" s="372"/>
    </row>
    <row r="373" spans="13:121" x14ac:dyDescent="0.15">
      <c r="M373" s="372"/>
      <c r="V373" s="372"/>
      <c r="AG373" s="372"/>
      <c r="AO373" s="372"/>
      <c r="AX373" s="381"/>
      <c r="BH373" s="381"/>
      <c r="BQ373" s="372"/>
      <c r="BZ373" s="372"/>
      <c r="CZ373" s="381"/>
      <c r="DI373" s="372"/>
      <c r="DQ373" s="372"/>
    </row>
    <row r="374" spans="13:121" x14ac:dyDescent="0.15">
      <c r="M374" s="372"/>
      <c r="V374" s="372"/>
      <c r="AG374" s="372"/>
      <c r="AO374" s="372"/>
      <c r="AX374" s="381"/>
      <c r="BH374" s="381"/>
      <c r="BQ374" s="372"/>
      <c r="BZ374" s="372"/>
      <c r="CZ374" s="381"/>
      <c r="DI374" s="372"/>
      <c r="DQ374" s="372"/>
    </row>
    <row r="375" spans="13:121" x14ac:dyDescent="0.15">
      <c r="M375" s="372"/>
      <c r="V375" s="372"/>
      <c r="AG375" s="372"/>
      <c r="AO375" s="372"/>
      <c r="AX375" s="381"/>
      <c r="BH375" s="381"/>
      <c r="BQ375" s="372"/>
      <c r="BZ375" s="372"/>
      <c r="CZ375" s="381"/>
      <c r="DI375" s="372"/>
      <c r="DQ375" s="372"/>
    </row>
    <row r="376" spans="13:121" x14ac:dyDescent="0.15">
      <c r="M376" s="372"/>
      <c r="V376" s="372"/>
      <c r="AG376" s="372"/>
      <c r="AO376" s="372"/>
      <c r="AX376" s="381"/>
      <c r="BH376" s="381"/>
      <c r="BQ376" s="372"/>
      <c r="BZ376" s="372"/>
      <c r="CZ376" s="381"/>
      <c r="DI376" s="372"/>
      <c r="DQ376" s="372"/>
    </row>
    <row r="377" spans="13:121" x14ac:dyDescent="0.15">
      <c r="M377" s="372"/>
      <c r="V377" s="372"/>
      <c r="AG377" s="372"/>
      <c r="AO377" s="372"/>
      <c r="AX377" s="381"/>
      <c r="BH377" s="381"/>
      <c r="BQ377" s="372"/>
      <c r="BZ377" s="372"/>
      <c r="CZ377" s="381"/>
      <c r="DI377" s="372"/>
      <c r="DQ377" s="372"/>
    </row>
    <row r="378" spans="13:121" x14ac:dyDescent="0.15">
      <c r="M378" s="372"/>
      <c r="V378" s="372"/>
      <c r="AG378" s="372"/>
      <c r="AO378" s="372"/>
      <c r="AX378" s="381"/>
      <c r="BH378" s="381"/>
      <c r="BQ378" s="372"/>
      <c r="BZ378" s="372"/>
      <c r="CZ378" s="381"/>
      <c r="DI378" s="372"/>
      <c r="DQ378" s="372"/>
    </row>
    <row r="379" spans="13:121" x14ac:dyDescent="0.15">
      <c r="M379" s="372"/>
      <c r="V379" s="372"/>
      <c r="AG379" s="372"/>
      <c r="AO379" s="372"/>
      <c r="AX379" s="381"/>
      <c r="BH379" s="381"/>
      <c r="BQ379" s="372"/>
      <c r="BZ379" s="372"/>
      <c r="CZ379" s="381"/>
      <c r="DI379" s="372"/>
      <c r="DQ379" s="372"/>
    </row>
    <row r="380" spans="13:121" x14ac:dyDescent="0.15">
      <c r="M380" s="372"/>
      <c r="V380" s="372"/>
      <c r="AG380" s="372"/>
      <c r="AO380" s="372"/>
      <c r="AX380" s="381"/>
      <c r="BH380" s="381"/>
      <c r="BQ380" s="372"/>
      <c r="BZ380" s="372"/>
      <c r="CZ380" s="381"/>
      <c r="DI380" s="372"/>
      <c r="DQ380" s="372"/>
    </row>
    <row r="381" spans="13:121" x14ac:dyDescent="0.15">
      <c r="M381" s="372"/>
      <c r="V381" s="372"/>
      <c r="AG381" s="372"/>
      <c r="AO381" s="372"/>
      <c r="AX381" s="381"/>
      <c r="BH381" s="381"/>
      <c r="BQ381" s="372"/>
      <c r="BZ381" s="372"/>
    </row>
    <row r="382" spans="13:121" x14ac:dyDescent="0.15">
      <c r="M382" s="372"/>
      <c r="V382" s="372"/>
      <c r="AG382" s="372"/>
      <c r="AO382" s="372"/>
      <c r="AX382" s="381"/>
      <c r="BH382" s="381"/>
      <c r="BQ382" s="372"/>
      <c r="BZ382" s="372"/>
    </row>
  </sheetData>
  <mergeCells count="27">
    <mergeCell ref="DW51:DX51"/>
    <mergeCell ref="DJ5:DP5"/>
    <mergeCell ref="DS5:DY5"/>
    <mergeCell ref="DW49:DX49"/>
    <mergeCell ref="DW50:DX50"/>
    <mergeCell ref="CN51:CO51"/>
    <mergeCell ref="CR5:CX5"/>
    <mergeCell ref="DA5:DG5"/>
    <mergeCell ref="DN51:DO51"/>
    <mergeCell ref="CJ5:CP5"/>
    <mergeCell ref="CN49:CO49"/>
    <mergeCell ref="DN53:DO53"/>
    <mergeCell ref="C5:K5"/>
    <mergeCell ref="AH5:AM5"/>
    <mergeCell ref="CE50:CF50"/>
    <mergeCell ref="CE51:CF51"/>
    <mergeCell ref="CE49:CF49"/>
    <mergeCell ref="DN49:DO49"/>
    <mergeCell ref="DN50:DO50"/>
    <mergeCell ref="X5:AE5"/>
    <mergeCell ref="N5:U5"/>
    <mergeCell ref="BJ5:BP5"/>
    <mergeCell ref="CA5:CG5"/>
    <mergeCell ref="BR5:BX5"/>
    <mergeCell ref="AY5:BF5"/>
    <mergeCell ref="AP5:AW5"/>
    <mergeCell ref="CN50:CO50"/>
  </mergeCells>
  <pageMargins left="0.7" right="0.7" top="0.75" bottom="0.75" header="0.3" footer="0.3"/>
  <pageSetup paperSize="9" orientation="portrait" r:id="rId1"/>
  <ignoredErrors>
    <ignoredError sqref="Q10 AS20 AS10:AS19 AS21:AS26 AS27:AS44 AS45:AS48 Q11:Q26 Q27:Q43 Q44:Q48 Z9 P9 AR9" formula="1"/>
  </ignoredError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Y D A A B Q S w M E F A A C A A g A X G 5 v W v h S W b C m A A A A 9 g A A A B I A H A B D b 2 5 m a W c v U G F j a 2 F n Z S 5 4 b W w g o h g A K K A U A A A A A A A A A A A A A A A A A A A A A A A A A A A A h Y 9 B D o I w F E S v Q r q n L Y i J I Z + S 6 M K N J C Y m x m 1 T K j T C x 9 A i 3 M 2 F R / I K Y h R 1 5 3 L e v M X M / X q D d K g r 7 6 J b a x p M S E A 5 8 T S q J j d Y J K R z R 3 9 B U g F b q U 6 y 0 N 4 o o 4 0 H m y e k d O 4 c M 9 b 3 P e 1 n t G k L F n I e s E O 2 2 a l S 1 5 J 8 Z P N f 9 g 1 a J 1 F p I m D / G i N C G k S c R n x O O b A J Q m b w K 4 T j 3 m f 7 A 2 H V V a 5 r t d D o r 5 f A p g j s / U E 8 A F B L A w Q U A A I A C A B c b m 9 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X G 5 v W i i K R 7 g O A A A A E Q A A A B M A H A B G b 3 J t d W x h c y 9 T Z W N 0 a W 9 u M S 5 t I K I Y A C i g F A A A A A A A A A A A A A A A A A A A A A A A A A A A A C t O T S 7 J z M 9 T C I b Q h t Y A U E s B A i 0 A F A A C A A g A X G 5 v W v h S W b C m A A A A 9 g A A A B I A A A A A A A A A A A A A A A A A A A A A A E N v b m Z p Z y 9 Q Y W N r Y W d l L n h t b F B L A Q I t A B Q A A g A I A F x u b 1 o P y u m r p A A A A O k A A A A T A A A A A A A A A A A A A A A A A P I A A A B b Q 2 9 u d G V u d F 9 U e X B l c 1 0 u e G 1 s U E s B A i 0 A F A A C A A g A X G 5 v W i i K R 7 g O A A A A E Q A A A B M A A A A A A A A A A A A A A A A A 4 w E A A E Z v c m 1 1 b G F z L 1 N l Y 3 R p b 2 4 x L m 1 Q S w U G A A A A A A M A A w D C A A A A P g I 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w E A A A A A A A B 1 A 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L 0 l 0 Z W 1 z P j w v T G 9 j Y W x Q Y W N r Y W d l T W V 0 Y W R h d G F G a W x l P h Y A A A B Q S w U G A A A A A A A A A A A A A A A A A A A A A A A A J g E A A A E A A A D Q j J 3 f A R X R E Y x 6 A M B P w p f r A Q A A A E a W X b l A l a l N i l h w I y S y m + 4 A A A A A A g A A A A A A E G Y A A A A B A A A g A A A A 0 2 f i R 1 V l q 6 t B / l K p 4 2 a 4 i b Q s g r q 3 R j Z i 1 L m I 5 t A g 8 r o A A A A A D o A A A A A C A A A g A A A A D y H 7 8 l Y y M l h r e o D s X c D O i g v T N o d 7 Q 4 6 S 5 6 a g v m 6 k r D V Q A A A A Y + s 5 9 6 x A F M T u t p b I b m 1 U k Z S V W m J A l n k 0 o l Y Y f i Z E V 4 s 0 u 2 i P 5 v G a 6 y 4 d X M H H V l Y M i 1 Z e b p m a K 3 H d t i R Y l Y b B h I K l m t f K t H E f 9 J i 2 u r 2 T z q V A A A A A + C 0 B 0 l j V F C 8 0 c t Y o O 1 X d 1 J a 4 B q C B Q v c D Y a r I F a I A s S L s j O E 0 2 T + K K G j e F d x i 2 l 2 Z 0 8 x q S R 2 W y f A t C 4 Y J 7 X A p r A = = < / D a t a M a s h u p > 
</file>

<file path=customXml/itemProps1.xml><?xml version="1.0" encoding="utf-8"?>
<ds:datastoreItem xmlns:ds="http://schemas.openxmlformats.org/officeDocument/2006/customXml" ds:itemID="{FD145530-AC77-4986-BB97-8BD7A961DD6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21</vt:i4>
      </vt:variant>
      <vt:variant>
        <vt:lpstr>Named Ranges</vt:lpstr>
      </vt:variant>
      <vt:variant>
        <vt:i4>181</vt:i4>
      </vt:variant>
    </vt:vector>
  </HeadingPairs>
  <TitlesOfParts>
    <vt:vector size="202" baseType="lpstr">
      <vt:lpstr>Time Table</vt:lpstr>
      <vt:lpstr>PGX ACS studies </vt:lpstr>
      <vt:lpstr>Previous Model Structures </vt:lpstr>
      <vt:lpstr>Model structure </vt:lpstr>
      <vt:lpstr>assumptions</vt:lpstr>
      <vt:lpstr>Parameters.STEMI</vt:lpstr>
      <vt:lpstr>Intitial-Calculations</vt:lpstr>
      <vt:lpstr>decision tree</vt:lpstr>
      <vt:lpstr>markov</vt:lpstr>
      <vt:lpstr>out-put</vt:lpstr>
      <vt:lpstr>random</vt:lpstr>
      <vt:lpstr>PSA</vt:lpstr>
      <vt:lpstr>costs</vt:lpstr>
      <vt:lpstr>markov_transition</vt:lpstr>
      <vt:lpstr>age_sex_dependant_mortality</vt:lpstr>
      <vt:lpstr>age_sex_dependant_utility</vt:lpstr>
      <vt:lpstr>Parameters.NSTEMI</vt:lpstr>
      <vt:lpstr>Data from Pufulete 2022</vt:lpstr>
      <vt:lpstr>Sheet2</vt:lpstr>
      <vt:lpstr>timeline</vt:lpstr>
      <vt:lpstr>Sheet1</vt:lpstr>
      <vt:lpstr>adj_u_noevent</vt:lpstr>
      <vt:lpstr>adj_u_pos_stk</vt:lpstr>
      <vt:lpstr>adj_u_posrinfarc</vt:lpstr>
      <vt:lpstr>adj_u_rinfarc</vt:lpstr>
      <vt:lpstr>adj_u_stk</vt:lpstr>
      <vt:lpstr>an_u_dec_maj_bleed</vt:lpstr>
      <vt:lpstr>an_u_dec_min_bleed</vt:lpstr>
      <vt:lpstr>c_bleed_ac</vt:lpstr>
      <vt:lpstr>c_bleed_ap</vt:lpstr>
      <vt:lpstr>c_bleed_at</vt:lpstr>
      <vt:lpstr>c_dead_tree</vt:lpstr>
      <vt:lpstr>c_drug_ac_dead_poc</vt:lpstr>
      <vt:lpstr>c_drug_ac_dead_st</vt:lpstr>
      <vt:lpstr>c_drug_ac_mi_poc</vt:lpstr>
      <vt:lpstr>c_drug_ac_mi_st</vt:lpstr>
      <vt:lpstr>c_drug_ac_noevent_poc</vt:lpstr>
      <vt:lpstr>c_drug_ac_noevent_st</vt:lpstr>
      <vt:lpstr>c_drug_ac_stk_poc</vt:lpstr>
      <vt:lpstr>c_drug_ac_stk_st</vt:lpstr>
      <vt:lpstr>c_drug_ap_dead_poc</vt:lpstr>
      <vt:lpstr>c_drug_ap_dead_st</vt:lpstr>
      <vt:lpstr>c_drug_ap_mi_poc</vt:lpstr>
      <vt:lpstr>c_drug_ap_mi_st</vt:lpstr>
      <vt:lpstr>c_drug_ap_noevent_pc</vt:lpstr>
      <vt:lpstr>c_drug_ap_noevent_st</vt:lpstr>
      <vt:lpstr>c_drug_ap_stk_poc</vt:lpstr>
      <vt:lpstr>c_drug_ap_stk_st</vt:lpstr>
      <vt:lpstr>c_drug_at_dead_poc</vt:lpstr>
      <vt:lpstr>c_drug_at_dead_st</vt:lpstr>
      <vt:lpstr>c_drug_at_mi_poc</vt:lpstr>
      <vt:lpstr>c_drug_at_mi_st</vt:lpstr>
      <vt:lpstr>c_drug_at_noevent_pc</vt:lpstr>
      <vt:lpstr>c_drug_at_noevent_st</vt:lpstr>
      <vt:lpstr>c_drug_at_stk_poc</vt:lpstr>
      <vt:lpstr>c_drug_at_stk_st</vt:lpstr>
      <vt:lpstr>c_dys_ac</vt:lpstr>
      <vt:lpstr>c_dys_ap</vt:lpstr>
      <vt:lpstr>c_dys_at</vt:lpstr>
      <vt:lpstr>c_dys_pp</vt:lpstr>
      <vt:lpstr>c_maj_bleed</vt:lpstr>
      <vt:lpstr>c_mi_tree</vt:lpstr>
      <vt:lpstr>c_min_bleed</vt:lpstr>
      <vt:lpstr>c_noevent_mkv</vt:lpstr>
      <vt:lpstr>c_noevent_tree</vt:lpstr>
      <vt:lpstr>c_pci</vt:lpstr>
      <vt:lpstr>c_poc_test</vt:lpstr>
      <vt:lpstr>c_poc_total</vt:lpstr>
      <vt:lpstr>c_poc_tree</vt:lpstr>
      <vt:lpstr>c_post_rinfar_mkv</vt:lpstr>
      <vt:lpstr>c_post_stk_mkv</vt:lpstr>
      <vt:lpstr>c_rinfar_mkv</vt:lpstr>
      <vt:lpstr>c_st_total</vt:lpstr>
      <vt:lpstr>c_st_tree</vt:lpstr>
      <vt:lpstr>c_stk_mkv</vt:lpstr>
      <vt:lpstr>c_stk_tree</vt:lpstr>
      <vt:lpstr>ce_tresh</vt:lpstr>
      <vt:lpstr>current_age</vt:lpstr>
      <vt:lpstr>cycle</vt:lpstr>
      <vt:lpstr>day_cost_asa</vt:lpstr>
      <vt:lpstr>day_cost_clop</vt:lpstr>
      <vt:lpstr>day_cost_pras</vt:lpstr>
      <vt:lpstr>day_cost_pras_10mg</vt:lpstr>
      <vt:lpstr>day_cost_pras_5mg</vt:lpstr>
      <vt:lpstr>day_cost_tica</vt:lpstr>
      <vt:lpstr>disc_cost</vt:lpstr>
      <vt:lpstr>disc_effect</vt:lpstr>
      <vt:lpstr>dist_dead_pc_tree</vt:lpstr>
      <vt:lpstr>dist_dead_st_tree</vt:lpstr>
      <vt:lpstr>dist_nevent_pc_tree</vt:lpstr>
      <vt:lpstr>dist_nevent_st_tree</vt:lpstr>
      <vt:lpstr>dist_rinfarc_pc_tree</vt:lpstr>
      <vt:lpstr>dist_rinfarc_st_tree</vt:lpstr>
      <vt:lpstr>dist_stk_pc_tree</vt:lpstr>
      <vt:lpstr>dist_stk_st_tree</vt:lpstr>
      <vt:lpstr>duration_dys</vt:lpstr>
      <vt:lpstr>duration_maj_bleed</vt:lpstr>
      <vt:lpstr>duration_min_bleed</vt:lpstr>
      <vt:lpstr>ICER</vt:lpstr>
      <vt:lpstr>ld_clop_300</vt:lpstr>
      <vt:lpstr>ld_clop_600</vt:lpstr>
      <vt:lpstr>ld_pras_60</vt:lpstr>
      <vt:lpstr>ld_tica_180</vt:lpstr>
      <vt:lpstr>life_table</vt:lpstr>
      <vt:lpstr>LYGs_poc</vt:lpstr>
      <vt:lpstr>LYGs_st</vt:lpstr>
      <vt:lpstr>male_proportion_STEMI</vt:lpstr>
      <vt:lpstr>md_328_day</vt:lpstr>
      <vt:lpstr>md_360_day</vt:lpstr>
      <vt:lpstr>md_365_day</vt:lpstr>
      <vt:lpstr>md_5_day</vt:lpstr>
      <vt:lpstr>md_halfway</vt:lpstr>
      <vt:lpstr>model_type</vt:lpstr>
      <vt:lpstr>or_dead_pras_clop</vt:lpstr>
      <vt:lpstr>or_dead_tica_clop</vt:lpstr>
      <vt:lpstr>or_dys_at_ac</vt:lpstr>
      <vt:lpstr>or_maj_bleed_pras_clop</vt:lpstr>
      <vt:lpstr>or_maj_bleed_tica_clop</vt:lpstr>
      <vt:lpstr>or_mi_pras_clop</vt:lpstr>
      <vt:lpstr>or_mi_tica_clop</vt:lpstr>
      <vt:lpstr>or_min_bleed_pras_clop</vt:lpstr>
      <vt:lpstr>or_min_bleed_tica_clop</vt:lpstr>
      <vt:lpstr>or_stk_pras_clop</vt:lpstr>
      <vt:lpstr>or_stk_tica_clop</vt:lpstr>
      <vt:lpstr>prb_dys_ap</vt:lpstr>
      <vt:lpstr>prev_lof_base</vt:lpstr>
      <vt:lpstr>prev_lof_sa</vt:lpstr>
      <vt:lpstr>prob_dead_ac</vt:lpstr>
      <vt:lpstr>prob_dead_ac_nlof</vt:lpstr>
      <vt:lpstr>prob_dead_ap</vt:lpstr>
      <vt:lpstr>prob_dead_at</vt:lpstr>
      <vt:lpstr>prob_dead_noevent</vt:lpstr>
      <vt:lpstr>prob_dead_pos_reinfarct</vt:lpstr>
      <vt:lpstr>prob_dead_pstk</vt:lpstr>
      <vt:lpstr>prob_dead_reinfarction</vt:lpstr>
      <vt:lpstr>prob_dead_stk</vt:lpstr>
      <vt:lpstr>prob_dys_ac</vt:lpstr>
      <vt:lpstr>prob_dys_ap</vt:lpstr>
      <vt:lpstr>prob_dys_at</vt:lpstr>
      <vt:lpstr>prob_maj_bleed_ac</vt:lpstr>
      <vt:lpstr>prob_maj_bleed_ap</vt:lpstr>
      <vt:lpstr>prob_maj_bleed_at</vt:lpstr>
      <vt:lpstr>prob_mi_ac</vt:lpstr>
      <vt:lpstr>prob_mi_ac_nlof</vt:lpstr>
      <vt:lpstr>prob_mi_ap</vt:lpstr>
      <vt:lpstr>prob_mi_at</vt:lpstr>
      <vt:lpstr>prob_min_bleed_ac</vt:lpstr>
      <vt:lpstr>prob_min_bleed_ap</vt:lpstr>
      <vt:lpstr>prob_min_bleed_at</vt:lpstr>
      <vt:lpstr>prob_nevent_to_reinfarc</vt:lpstr>
      <vt:lpstr>prob_stk_ac</vt:lpstr>
      <vt:lpstr>prob_stk_ac_nlof</vt:lpstr>
      <vt:lpstr>prob_stk_ap</vt:lpstr>
      <vt:lpstr>prob_stk_at</vt:lpstr>
      <vt:lpstr>prob_test_follow</vt:lpstr>
      <vt:lpstr>prob_test_order</vt:lpstr>
      <vt:lpstr>prop_ac_st</vt:lpstr>
      <vt:lpstr>prop_ap_lof</vt:lpstr>
      <vt:lpstr>prop_ap_st</vt:lpstr>
      <vt:lpstr>prop_at_lof</vt:lpstr>
      <vt:lpstr>prop_at_st</vt:lpstr>
      <vt:lpstr>prop_pras_5mg</vt:lpstr>
      <vt:lpstr>prop_test_not_followed</vt:lpstr>
      <vt:lpstr>prop_test_not_ordered</vt:lpstr>
      <vt:lpstr>qaly_poc_total</vt:lpstr>
      <vt:lpstr>qaly_poc_tree</vt:lpstr>
      <vt:lpstr>qaly_st_total</vt:lpstr>
      <vt:lpstr>qaly_st_tree</vt:lpstr>
      <vt:lpstr>rate_maj_bleed_ac_nlof</vt:lpstr>
      <vt:lpstr>rate_min_bleed_ac_nlof</vt:lpstr>
      <vt:lpstr>RR_dead_ac_nlof</vt:lpstr>
      <vt:lpstr>rr_maj_bleed_ac_nlof</vt:lpstr>
      <vt:lpstr>rr_mi_ac_nlof</vt:lpstr>
      <vt:lpstr>rr_min_bleed_ac_nlof</vt:lpstr>
      <vt:lpstr>rr_stk_ac_nlof</vt:lpstr>
      <vt:lpstr>smr_noevent</vt:lpstr>
      <vt:lpstr>smr_post_rinfar</vt:lpstr>
      <vt:lpstr>smr_post_stk</vt:lpstr>
      <vt:lpstr>smr_rinfar</vt:lpstr>
      <vt:lpstr>smr_stk</vt:lpstr>
      <vt:lpstr>start_age_f</vt:lpstr>
      <vt:lpstr>start_age_m</vt:lpstr>
      <vt:lpstr>stemi_size</vt:lpstr>
      <vt:lpstr>u_dec_bleed_ac</vt:lpstr>
      <vt:lpstr>u_dec_bleed_ap</vt:lpstr>
      <vt:lpstr>u_dec_bleed_at</vt:lpstr>
      <vt:lpstr>u_dec_dys</vt:lpstr>
      <vt:lpstr>u_dec_dys_ac</vt:lpstr>
      <vt:lpstr>u_dec_dys_ap</vt:lpstr>
      <vt:lpstr>u_dec_dys_at</vt:lpstr>
      <vt:lpstr>u_dec_maj_bleed</vt:lpstr>
      <vt:lpstr>u_dec_min_bleed</vt:lpstr>
      <vt:lpstr>u_noevent</vt:lpstr>
      <vt:lpstr>u_noevent_tree</vt:lpstr>
      <vt:lpstr>u_post_rinfar</vt:lpstr>
      <vt:lpstr>u_post_rinfar_tree</vt:lpstr>
      <vt:lpstr>u_post_stk</vt:lpstr>
      <vt:lpstr>u_post_stk_tree</vt:lpstr>
      <vt:lpstr>u_rinfar</vt:lpstr>
      <vt:lpstr>u_rinfar_tree</vt:lpstr>
      <vt:lpstr>u_stk</vt:lpstr>
      <vt:lpstr>u_stk_tree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Alireza Mahboub-Ahari</dc:creator>
  <cp:keywords/>
  <dc:description/>
  <cp:lastModifiedBy>Joe hilton Hilton</cp:lastModifiedBy>
  <cp:revision/>
  <dcterms:created xsi:type="dcterms:W3CDTF">2015-06-05T18:17:20Z</dcterms:created>
  <dcterms:modified xsi:type="dcterms:W3CDTF">2025-10-13T07:51:10Z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death_AC_noLOF" linkTarget="prop_death_AC_noLOF">
    <vt:r8>0.0517306559582477</vt:r8>
  </property>
  <property fmtid="{D5CDD505-2E9C-101B-9397-08002B2CF9AE}" pid="3" name="MI_AC_noLOF" linkTarget="prop_MI_AC_noLOF">
    <vt:r8>0.0392419045404337</vt:r8>
  </property>
  <property fmtid="{D5CDD505-2E9C-101B-9397-08002B2CF9AE}" pid="4" name="stroke_AC_noLOF" linkTarget="prop_stroke_AC_noLOF">
    <vt:r8>0.00925925925925927</vt:r8>
  </property>
  <property fmtid="{D5CDD505-2E9C-101B-9397-08002B2CF9AE}" pid="5" name="test_not_followed" linkTarget="prop_test_not_followed">
    <vt:r8>0.0651</vt:r8>
  </property>
  <property fmtid="{D5CDD505-2E9C-101B-9397-08002B2CF9AE}" pid="6" name="test_not_ordered" linkTarget="prop_test_not_ordered">
    <vt:r8>0.07</vt:r8>
  </property>
  <property fmtid="{D5CDD505-2E9C-101B-9397-08002B2CF9AE}" pid="7" name="ac_st" linkTarget="prop_ac_st">
    <vt:r8>0.219</vt:r8>
  </property>
  <property fmtid="{D5CDD505-2E9C-101B-9397-08002B2CF9AE}" pid="8" name="ap_lof" linkTarget="prop_ap_lof">
    <vt:r8>0.293213828425096</vt:r8>
  </property>
  <property fmtid="{D5CDD505-2E9C-101B-9397-08002B2CF9AE}" pid="9" name="ap_st" linkTarget="prop_ap_st">
    <vt:r8>0.229</vt:r8>
  </property>
  <property fmtid="{D5CDD505-2E9C-101B-9397-08002B2CF9AE}" pid="10" name="at_lof" linkTarget="prop_at_lof">
    <vt:r8>0.706786171574904</vt:r8>
  </property>
  <property fmtid="{D5CDD505-2E9C-101B-9397-08002B2CF9AE}" pid="11" name="at_st" linkTarget="prop_at_st">
    <vt:r8>0.552</vt:r8>
  </property>
  <property fmtid="{D5CDD505-2E9C-101B-9397-08002B2CF9AE}" pid="12" name="pras_5mg" linkTarget="prop_pras_5mg">
    <vt:r8>0.15</vt:r8>
  </property>
</Properties>
</file>